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M1MAR00\My Personal Stuff\HOA B&amp;F\2025 budget\"/>
    </mc:Choice>
  </mc:AlternateContent>
  <xr:revisionPtr revIDLastSave="0" documentId="8_{16DF7C37-811F-420C-B9AB-3B515EDDD0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Budget" sheetId="1" r:id="rId1"/>
    <sheet name="Charts" sheetId="2" state="hidden" r:id="rId2"/>
  </sheets>
  <externalReferences>
    <externalReference r:id="rId3"/>
  </externalReferences>
  <definedNames>
    <definedName name="__123Graph_A" localSheetId="0" hidden="1">[1]source_data!#REF!</definedName>
    <definedName name="__123Graph_A" hidden="1">[1]source_data!#REF!</definedName>
    <definedName name="__123Graph_AAUTHS" localSheetId="0" hidden="1">[1]source_data!#REF!</definedName>
    <definedName name="__123Graph_AAUTHS" hidden="1">[1]source_data!#REF!</definedName>
    <definedName name="__123Graph_AIPIBNR" localSheetId="0" hidden="1">[1]source_data!#REF!</definedName>
    <definedName name="__123Graph_AIPIBNR" hidden="1">[1]source_data!#REF!</definedName>
    <definedName name="__123Graph_ATOTAL" localSheetId="0" hidden="1">[1]source_data!#REF!</definedName>
    <definedName name="__123Graph_ATOTAL" hidden="1">[1]source_data!#REF!</definedName>
    <definedName name="__123Graph_ATYPEA" localSheetId="0" hidden="1">[1]source_data!#REF!</definedName>
    <definedName name="__123Graph_ATYPEA" hidden="1">[1]source_data!#REF!</definedName>
    <definedName name="__123Graph_ATYPED" localSheetId="0" hidden="1">[1]source_data!#REF!</definedName>
    <definedName name="__123Graph_ATYPED" hidden="1">[1]source_data!#REF!</definedName>
    <definedName name="__123Graph_ATYPEE" localSheetId="0" hidden="1">[1]source_data!#REF!</definedName>
    <definedName name="__123Graph_ATYPEE" hidden="1">[1]source_data!#REF!</definedName>
    <definedName name="__123Graph_ATYPEI" localSheetId="0" hidden="1">[1]source_data!#REF!</definedName>
    <definedName name="__123Graph_ATYPEI" hidden="1">[1]source_data!#REF!</definedName>
    <definedName name="__123Graph_ATYPEM" localSheetId="0" hidden="1">[1]source_data!#REF!</definedName>
    <definedName name="__123Graph_ATYPEM" hidden="1">[1]source_data!#REF!</definedName>
    <definedName name="__123Graph_ATYPEP" localSheetId="0" hidden="1">[1]source_data!#REF!</definedName>
    <definedName name="__123Graph_ATYPEP" hidden="1">[1]source_data!#REF!</definedName>
    <definedName name="__123Graph_ATYPER" localSheetId="0" hidden="1">[1]source_data!#REF!</definedName>
    <definedName name="__123Graph_ATYPER" hidden="1">[1]source_data!#REF!</definedName>
    <definedName name="__123Graph_ATYPESUM" localSheetId="0" hidden="1">[1]source_data!#REF!</definedName>
    <definedName name="__123Graph_ATYPESUM" hidden="1">[1]source_data!#REF!</definedName>
    <definedName name="__123Graph_BAUTHS" localSheetId="0" hidden="1">[1]source_data!#REF!</definedName>
    <definedName name="__123Graph_BAUTHS" hidden="1">[1]source_data!#REF!</definedName>
    <definedName name="__123Graph_BTOTAL" localSheetId="0" hidden="1">[1]source_data!#REF!</definedName>
    <definedName name="__123Graph_BTOTAL" hidden="1">[1]source_data!#REF!</definedName>
    <definedName name="__123Graph_BTYPED" localSheetId="0" hidden="1">[1]source_data!#REF!</definedName>
    <definedName name="__123Graph_BTYPED" hidden="1">[1]source_data!#REF!</definedName>
    <definedName name="__123Graph_BTYPEE" localSheetId="0" hidden="1">[1]source_data!#REF!</definedName>
    <definedName name="__123Graph_BTYPEE" hidden="1">[1]source_data!#REF!</definedName>
    <definedName name="__123Graph_BTYPEI" localSheetId="0" hidden="1">[1]source_data!#REF!</definedName>
    <definedName name="__123Graph_BTYPEI" hidden="1">[1]source_data!#REF!</definedName>
    <definedName name="__123Graph_BTYPEM" localSheetId="0" hidden="1">[1]source_data!#REF!</definedName>
    <definedName name="__123Graph_BTYPEM" hidden="1">[1]source_data!#REF!</definedName>
    <definedName name="__123Graph_BTYPEP" localSheetId="0" hidden="1">[1]source_data!#REF!</definedName>
    <definedName name="__123Graph_BTYPEP" hidden="1">[1]source_data!#REF!</definedName>
    <definedName name="__123Graph_BTYPER" localSheetId="0" hidden="1">[1]source_data!#REF!</definedName>
    <definedName name="__123Graph_BTYPER" hidden="1">[1]source_data!#REF!</definedName>
    <definedName name="__123Graph_BTYPESUM" localSheetId="0" hidden="1">[1]source_data!#REF!</definedName>
    <definedName name="__123Graph_BTYPESUM" hidden="1">[1]source_data!#REF!</definedName>
    <definedName name="__123Graph_CAUTHS" localSheetId="0" hidden="1">[1]source_data!#REF!</definedName>
    <definedName name="__123Graph_CAUTHS" hidden="1">[1]source_data!#REF!</definedName>
    <definedName name="__123Graph_CTOTAL" localSheetId="0" hidden="1">[1]source_data!#REF!</definedName>
    <definedName name="__123Graph_CTOTAL" hidden="1">[1]source_data!#REF!</definedName>
    <definedName name="__123Graph_D" localSheetId="0" hidden="1">[1]source_data!#REF!</definedName>
    <definedName name="__123Graph_D" hidden="1">[1]source_data!#REF!</definedName>
    <definedName name="__123Graph_DAUTHS" localSheetId="0" hidden="1">[1]source_data!#REF!</definedName>
    <definedName name="__123Graph_DAUTHS" hidden="1">[1]source_data!#REF!</definedName>
    <definedName name="__123Graph_DIPIBNR" localSheetId="0" hidden="1">[1]source_data!#REF!</definedName>
    <definedName name="__123Graph_DIPIBNR" hidden="1">[1]source_data!#REF!</definedName>
    <definedName name="__123Graph_DTOTAL" localSheetId="0" hidden="1">[1]source_data!#REF!</definedName>
    <definedName name="__123Graph_DTOTAL" hidden="1">[1]source_data!#REF!</definedName>
    <definedName name="__123Graph_EAUTHS" localSheetId="0" hidden="1">[1]source_data!#REF!</definedName>
    <definedName name="__123Graph_EAUTHS" hidden="1">[1]source_data!#REF!</definedName>
    <definedName name="__123Graph_ETOTAL" localSheetId="0" hidden="1">[1]source_data!#REF!</definedName>
    <definedName name="__123Graph_ETOTAL" hidden="1">[1]source_data!#REF!</definedName>
    <definedName name="__123Graph_FAUTHS" localSheetId="0" hidden="1">[1]source_data!#REF!</definedName>
    <definedName name="__123Graph_FAUTHS" hidden="1">[1]source_data!#REF!</definedName>
    <definedName name="__123Graph_FTOTAL" localSheetId="0" hidden="1">[1]source_data!#REF!</definedName>
    <definedName name="__123Graph_FTOTAL" hidden="1">[1]source_data!#REF!</definedName>
    <definedName name="__123Graph_LBL_A" localSheetId="0" hidden="1">[1]source_data!#REF!</definedName>
    <definedName name="__123Graph_LBL_A" hidden="1">[1]source_data!#REF!</definedName>
    <definedName name="__123Graph_LBL_AIPIBNR" localSheetId="0" hidden="1">[1]source_data!#REF!</definedName>
    <definedName name="__123Graph_LBL_AIPIBNR" hidden="1">[1]source_data!#REF!</definedName>
    <definedName name="__123Graph_LBL_ATYPEA" localSheetId="0" hidden="1">[1]source_data!#REF!</definedName>
    <definedName name="__123Graph_LBL_ATYPEA" hidden="1">[1]source_data!#REF!</definedName>
    <definedName name="__123Graph_LBL_ATYPED" localSheetId="0" hidden="1">[1]source_data!#REF!</definedName>
    <definedName name="__123Graph_LBL_ATYPED" hidden="1">[1]source_data!#REF!</definedName>
    <definedName name="__123Graph_LBL_ATYPEE" localSheetId="0" hidden="1">[1]source_data!#REF!</definedName>
    <definedName name="__123Graph_LBL_ATYPEE" hidden="1">[1]source_data!#REF!</definedName>
    <definedName name="__123Graph_LBL_ATYPEI" localSheetId="0" hidden="1">[1]source_data!#REF!</definedName>
    <definedName name="__123Graph_LBL_ATYPEI" hidden="1">[1]source_data!#REF!</definedName>
    <definedName name="__123Graph_LBL_ATYPEM" localSheetId="0" hidden="1">[1]source_data!#REF!</definedName>
    <definedName name="__123Graph_LBL_ATYPEM" hidden="1">[1]source_data!#REF!</definedName>
    <definedName name="__123Graph_LBL_ATYPEP" localSheetId="0" hidden="1">[1]source_data!#REF!</definedName>
    <definedName name="__123Graph_LBL_ATYPEP" hidden="1">[1]source_data!#REF!</definedName>
    <definedName name="__123Graph_LBL_ATYPER" localSheetId="0" hidden="1">[1]source_data!#REF!</definedName>
    <definedName name="__123Graph_LBL_ATYPER" hidden="1">[1]source_data!#REF!</definedName>
    <definedName name="__123Graph_LBL_ATYPESUM" localSheetId="0" hidden="1">[1]source_data!#REF!</definedName>
    <definedName name="__123Graph_LBL_ATYPESUM" hidden="1">[1]source_data!#REF!</definedName>
    <definedName name="__123Graph_LBL_BTYPED" localSheetId="0" hidden="1">[1]source_data!#REF!</definedName>
    <definedName name="__123Graph_LBL_BTYPED" hidden="1">[1]source_data!#REF!</definedName>
    <definedName name="__123Graph_LBL_BTYPEE" localSheetId="0" hidden="1">[1]source_data!#REF!</definedName>
    <definedName name="__123Graph_LBL_BTYPEE" hidden="1">[1]source_data!#REF!</definedName>
    <definedName name="__123Graph_LBL_BTYPEI" localSheetId="0" hidden="1">[1]source_data!#REF!</definedName>
    <definedName name="__123Graph_LBL_BTYPEI" hidden="1">[1]source_data!#REF!</definedName>
    <definedName name="__123Graph_LBL_BTYPEM" localSheetId="0" hidden="1">[1]source_data!#REF!</definedName>
    <definedName name="__123Graph_LBL_BTYPEM" hidden="1">[1]source_data!#REF!</definedName>
    <definedName name="__123Graph_LBL_BTYPEP" localSheetId="0" hidden="1">[1]source_data!#REF!</definedName>
    <definedName name="__123Graph_LBL_BTYPEP" hidden="1">[1]source_data!#REF!</definedName>
    <definedName name="__123Graph_LBL_BTYPER" localSheetId="0" hidden="1">[1]source_data!#REF!</definedName>
    <definedName name="__123Graph_LBL_BTYPER" hidden="1">[1]source_data!#REF!</definedName>
    <definedName name="__123Graph_LBL_BTYPESUM" localSheetId="0" hidden="1">[1]source_data!#REF!</definedName>
    <definedName name="__123Graph_LBL_BTYPESUM" hidden="1">[1]source_data!#REF!</definedName>
    <definedName name="__123Graph_LBL_D" localSheetId="0" hidden="1">[1]source_data!#REF!</definedName>
    <definedName name="__123Graph_LBL_D" hidden="1">[1]source_data!#REF!</definedName>
    <definedName name="__123Graph_LBL_DIPIBNR" localSheetId="0" hidden="1">[1]source_data!#REF!</definedName>
    <definedName name="__123Graph_LBL_DIPIBNR" hidden="1">[1]source_data!#REF!</definedName>
    <definedName name="__123Graph_X" localSheetId="0" hidden="1">[1]source_data!#REF!</definedName>
    <definedName name="__123Graph_X" hidden="1">[1]source_data!#REF!</definedName>
    <definedName name="__123Graph_XAUTHS" localSheetId="0" hidden="1">[1]source_data!#REF!</definedName>
    <definedName name="__123Graph_XAUTHS" hidden="1">[1]source_data!#REF!</definedName>
    <definedName name="__123Graph_XIPIBNR" localSheetId="0" hidden="1">[1]source_data!#REF!</definedName>
    <definedName name="__123Graph_XIPIBNR" hidden="1">[1]source_data!#REF!</definedName>
    <definedName name="__123Graph_XTOTAL" localSheetId="0" hidden="1">[1]source_data!#REF!</definedName>
    <definedName name="__123Graph_XTOTAL" hidden="1">[1]source_data!#REF!</definedName>
    <definedName name="_1_123Graph_DAU" localSheetId="0" hidden="1">[1]source_data!#REF!</definedName>
    <definedName name="_1_123Graph_DAU" hidden="1">[1]source_data!#REF!</definedName>
    <definedName name="_3_123Graph_DTO" localSheetId="0" hidden="1">[1]source_data!#REF!</definedName>
    <definedName name="_3_123Graph_DTO" hidden="1">[1]source_data!#REF!</definedName>
    <definedName name="_4_123Graph_AAU" localSheetId="0" hidden="1">[1]source_data!#REF!</definedName>
    <definedName name="_4_123Graph_AAU" hidden="1">[1]source_data!#REF!</definedName>
    <definedName name="_5_123Graph_BAU" localSheetId="0" hidden="1">[1]source_data!#REF!</definedName>
    <definedName name="_5_123Graph_BAU" hidden="1">[1]source_data!#REF!</definedName>
    <definedName name="_6_123Graph_CAU" localSheetId="0" hidden="1">[1]source_data!#REF!</definedName>
    <definedName name="_6_123Graph_CAU" hidden="1">[1]source_data!#REF!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urrentMonth">[1]INPUTS!$J$4:$J$15</definedName>
    <definedName name="CurrentYear">[1]INPUTS!$R$19:$R$28</definedName>
    <definedName name="HealthPlan">[1]INPUTS!$A$17:$A$37</definedName>
    <definedName name="_xlnm.Print_Area" localSheetId="0">'2025 Budget'!$A$1:$I$44</definedName>
    <definedName name="_xlnm.Print_Area" localSheetId="1">Charts!$A$1:$Q$34</definedName>
    <definedName name="Scenario">[1]INPUTS!$H$2:$H$10</definedName>
    <definedName name="wrn.One." localSheetId="0" hidden="1">{#N/A,#N/A,FALSE,"Consolidated 2002";#N/A,#N/A,FALSE,"Consolidated 2003";#N/A,#N/A,FALSE,"Consolidated 2004";#N/A,#N/A,FALSE,"2002 Assumptions";#N/A,#N/A,FALSE,"2003 Assumptions";#N/A,#N/A,FALSE,"2004 Assumptions"}</definedName>
    <definedName name="wrn.One." hidden="1">{#N/A,#N/A,FALSE,"Consolidated 2002";#N/A,#N/A,FALSE,"Consolidated 2003";#N/A,#N/A,FALSE,"Consolidated 2004";#N/A,#N/A,FALSE,"2002 Assumptions";#N/A,#N/A,FALSE,"2003 Assumptions";#N/A,#N/A,FALSE,"2004 Assumptions"}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E39" i="1" s="1"/>
  <c r="G16" i="1"/>
  <c r="G36" i="1"/>
  <c r="G21" i="1"/>
  <c r="G22" i="1"/>
  <c r="G23" i="1"/>
  <c r="G24" i="1"/>
  <c r="G25" i="1"/>
  <c r="G26" i="1"/>
  <c r="G27" i="1"/>
  <c r="G13" i="1"/>
  <c r="G14" i="1"/>
  <c r="G20" i="1" l="1"/>
  <c r="G31" i="1"/>
  <c r="G32" i="1"/>
  <c r="G33" i="1"/>
  <c r="G34" i="1"/>
  <c r="G35" i="1"/>
  <c r="G12" i="1"/>
  <c r="G11" i="1"/>
  <c r="F39" i="1" l="1"/>
  <c r="S51" i="2"/>
  <c r="S47" i="2"/>
  <c r="G15" i="1" l="1"/>
  <c r="F37" i="1"/>
  <c r="F28" i="1"/>
  <c r="F7" i="1"/>
  <c r="F9" i="1" s="1"/>
  <c r="F38" i="1" l="1"/>
  <c r="F40" i="1" s="1"/>
  <c r="E7" i="1" l="1"/>
  <c r="S48" i="2" l="1"/>
  <c r="S46" i="2"/>
  <c r="S40" i="2"/>
  <c r="S41" i="2"/>
  <c r="S38" i="2"/>
  <c r="S39" i="2"/>
  <c r="S43" i="2"/>
  <c r="S44" i="2"/>
  <c r="S42" i="2"/>
  <c r="S36" i="2"/>
  <c r="S34" i="2"/>
  <c r="S33" i="2"/>
  <c r="E37" i="1"/>
  <c r="G37" i="1" s="1"/>
  <c r="E9" i="1"/>
  <c r="G39" i="1" l="1"/>
  <c r="G17" i="1"/>
  <c r="S9" i="2"/>
  <c r="S8" i="2" s="1"/>
  <c r="E105" i="1"/>
  <c r="E81" i="1"/>
  <c r="E92" i="1"/>
  <c r="E98" i="1"/>
  <c r="E100" i="1"/>
  <c r="E86" i="1"/>
  <c r="E88" i="1"/>
  <c r="E82" i="1"/>
  <c r="E91" i="1"/>
  <c r="E93" i="1"/>
  <c r="E97" i="1"/>
  <c r="E99" i="1"/>
  <c r="E104" i="1"/>
  <c r="E87" i="1"/>
  <c r="E89" i="1"/>
  <c r="E94" i="1"/>
  <c r="E102" i="1"/>
  <c r="E28" i="1"/>
  <c r="G28" i="1" s="1"/>
  <c r="E90" i="1"/>
  <c r="E84" i="1"/>
  <c r="E101" i="1"/>
  <c r="S45" i="2"/>
  <c r="E106" i="1"/>
  <c r="E103" i="1"/>
  <c r="S23" i="2"/>
  <c r="S35" i="2"/>
  <c r="S37" i="2"/>
  <c r="E114" i="1" l="1"/>
  <c r="E127" i="1"/>
  <c r="E118" i="1"/>
  <c r="E129" i="1"/>
  <c r="E116" i="1"/>
  <c r="E125" i="1"/>
  <c r="E112" i="1"/>
  <c r="E115" i="1"/>
  <c r="E123" i="1"/>
  <c r="E128" i="1"/>
  <c r="E126" i="1"/>
  <c r="S21" i="2"/>
  <c r="E131" i="1"/>
  <c r="E38" i="1"/>
  <c r="E40" i="1" s="1"/>
  <c r="G40" i="1" s="1"/>
  <c r="E95" i="1"/>
  <c r="E120" i="1" s="1"/>
  <c r="S30" i="2"/>
  <c r="E83" i="1"/>
  <c r="E130" i="1"/>
  <c r="E119" i="1"/>
  <c r="E124" i="1"/>
  <c r="E111" i="1"/>
  <c r="E122" i="1"/>
  <c r="E113" i="1"/>
  <c r="E117" i="1"/>
  <c r="G38" i="1" l="1"/>
  <c r="E108" i="1"/>
  <c r="E133" i="1" s="1"/>
  <c r="S31" i="2"/>
  <c r="S56" i="2" l="1"/>
  <c r="S53" i="2"/>
  <c r="S50" i="2"/>
  <c r="S55" i="2"/>
  <c r="T12" i="2"/>
  <c r="S57" i="2"/>
  <c r="S52" i="2"/>
  <c r="S54" i="2"/>
  <c r="S58" i="2"/>
</calcChain>
</file>

<file path=xl/sharedStrings.xml><?xml version="1.0" encoding="utf-8"?>
<sst xmlns="http://schemas.openxmlformats.org/spreadsheetml/2006/main" count="168" uniqueCount="95">
  <si>
    <t>Segment ---&gt;</t>
  </si>
  <si>
    <t>Membership</t>
  </si>
  <si>
    <t xml:space="preserve">     # of Unit Months</t>
  </si>
  <si>
    <t>Units</t>
  </si>
  <si>
    <t>Total # of Units</t>
  </si>
  <si>
    <t>Income</t>
  </si>
  <si>
    <t>Assessment Income</t>
  </si>
  <si>
    <t>Assessment Allocation</t>
  </si>
  <si>
    <t>Community Income</t>
  </si>
  <si>
    <t>Total Income</t>
  </si>
  <si>
    <t>Fixed Expenses</t>
  </si>
  <si>
    <t>Electricity-S&amp;T/General</t>
  </si>
  <si>
    <t>Electricity-S&amp;T</t>
  </si>
  <si>
    <t>Security</t>
  </si>
  <si>
    <t>Electricity-General</t>
  </si>
  <si>
    <t>Golf Assessment</t>
  </si>
  <si>
    <t>Gas</t>
  </si>
  <si>
    <t>Management Fees/Contract</t>
  </si>
  <si>
    <t>Landscape-Contract</t>
  </si>
  <si>
    <t>Landscape Contract</t>
  </si>
  <si>
    <t>Snow Removal</t>
  </si>
  <si>
    <t>Pool Contract</t>
  </si>
  <si>
    <t>Insurance</t>
  </si>
  <si>
    <t>Other S&amp;T Operating</t>
  </si>
  <si>
    <t>Total Fixed Expense</t>
  </si>
  <si>
    <t>Variable Expenses</t>
  </si>
  <si>
    <t>Repairs</t>
  </si>
  <si>
    <t>Professional-Audit &amp; Tax</t>
  </si>
  <si>
    <t>Social Committee</t>
  </si>
  <si>
    <t>Professional-Legal</t>
  </si>
  <si>
    <t>General Admin</t>
  </si>
  <si>
    <t>Professional-Professional Fees</t>
  </si>
  <si>
    <t>Holiday Lights</t>
  </si>
  <si>
    <t>Professional Fees</t>
  </si>
  <si>
    <t>Bad Debts</t>
  </si>
  <si>
    <t>Bank Fees/Charges</t>
  </si>
  <si>
    <t>Cap Expenditures</t>
  </si>
  <si>
    <t>Website/Communications</t>
  </si>
  <si>
    <t>Board Meeting</t>
  </si>
  <si>
    <t>Total Variable Expenses</t>
  </si>
  <si>
    <t>Surplus / (Deficit)</t>
  </si>
  <si>
    <t>Reserve Study</t>
  </si>
  <si>
    <t>All Other Income</t>
  </si>
  <si>
    <t>Total "Untouchable" Expenses</t>
  </si>
  <si>
    <t>Website</t>
  </si>
  <si>
    <t>Total Ancillary Expenses</t>
  </si>
  <si>
    <t>% of Income</t>
  </si>
  <si>
    <t>Total Income - $0 Increase</t>
  </si>
  <si>
    <t>Assessement</t>
  </si>
  <si>
    <t>Reserves</t>
  </si>
  <si>
    <t>Other Income</t>
  </si>
  <si>
    <t>Total</t>
  </si>
  <si>
    <t>Total Fixed</t>
  </si>
  <si>
    <t>Total Variable</t>
  </si>
  <si>
    <t>Total Expenses</t>
  </si>
  <si>
    <t xml:space="preserve"> </t>
  </si>
  <si>
    <t>Allowance for Doubtful Accts</t>
  </si>
  <si>
    <t>Management Fees/Staffing</t>
  </si>
  <si>
    <t>Homeowner Events</t>
  </si>
  <si>
    <t>4 Major expenses</t>
  </si>
  <si>
    <t>Total Fixed expense %</t>
  </si>
  <si>
    <t>4 Major expenses %</t>
  </si>
  <si>
    <t>remaining other expense</t>
  </si>
  <si>
    <t>Homeowner Events/Holiday Decoration</t>
  </si>
  <si>
    <t>Access Control</t>
  </si>
  <si>
    <t>Penalties/Interest Income/Other Income</t>
  </si>
  <si>
    <t>Oak Creek Draft 2025 Budget</t>
  </si>
  <si>
    <t>Notes</t>
  </si>
  <si>
    <t xml:space="preserve">Access Contract $712,860 annually. Fox Turn assumes an additional 12 hours Mon-Fri  and Saturday. Cost increases for holidays and when additional coverage is needed for inoperable gates and community events. Increase recommendation  based on YTD July expense. </t>
  </si>
  <si>
    <t>Invited Clubs exercised its right under the MOU to increase the golf assessment by 3% CPI.  No notice of any increase has been provided at this time.</t>
  </si>
  <si>
    <t xml:space="preserve">Annual Meeting expense, Board &amp; committee training. Also includes awards for annual meeting. </t>
  </si>
  <si>
    <t>Change</t>
  </si>
  <si>
    <t>Capital Contributions</t>
  </si>
  <si>
    <t>Bad Debt Adjustment</t>
  </si>
  <si>
    <t>Total Net Income</t>
  </si>
  <si>
    <t>Transfer from Operating Fund</t>
  </si>
  <si>
    <t xml:space="preserve">Total Expenses </t>
  </si>
  <si>
    <t>*</t>
  </si>
  <si>
    <t>McFall &amp; Berry 2025 Contract Pricing will be $164,154.70. This is a 3% increase from 2024.</t>
  </si>
  <si>
    <t>Proposed Assessment increase from $217 to $238 will cover this deficit.</t>
  </si>
  <si>
    <t>Transfer to cover 2024 budget deficit.</t>
  </si>
  <si>
    <t>Annual Interest income on the association's total investments of $3,588,142.98; Late Payment Charges @ $21.70 per homeowner.</t>
  </si>
  <si>
    <t xml:space="preserve">Contribution per Reserve Study updated in 2023, Page A9. </t>
  </si>
  <si>
    <t>Street Lights /Gates / Swim and Tennis Center &amp; Pool Operations / Tennis Court  / Access Systems / Security Gate House/ Monument lights/ Landscape Lights / Pond Water Features / Power for the callbox directory.</t>
  </si>
  <si>
    <t>CAMP Management Services Contract.</t>
  </si>
  <si>
    <t>Estimating $68,500 annually for 2025 Pool Management Contract/Season. Includes for pool permits. Currently using Paradise Pools.</t>
  </si>
  <si>
    <t>Insurance for the Association; The increase represents an estimated $9,481 or 21% increase to accommodate insurance needs for Oak Creek Family Day.</t>
  </si>
  <si>
    <t>Office phones, pool phone, internet, security phones, gate phones, internet for 6 gates monthly. Taxes; contracted third party services.</t>
  </si>
  <si>
    <t>Common area repairs, Security guard house, Fencing repairs or removals split rail, Supplies, and various other common area concerns.Republic Services - Once per week for trash and recycling, service for 2 trash bins and 1 recycling bin is $107.90 per month. Extra pick ups for pool and meeting room rentals $70.00 per pick up.</t>
  </si>
  <si>
    <t>Holiday party, Oak Creek Day and other community events.  Homestead Gardens Nursery/Lighting for 6 community entrances/set up, take down &amp; storage.</t>
  </si>
  <si>
    <t>GRS for office computers, equipment, televisions and software monthly fee $1,799; Copier lease and other office equipment such as computers, telephone and fax machine. (equipment lease up for renewal will decrease cost).</t>
  </si>
  <si>
    <t>Contracted third party services.</t>
  </si>
  <si>
    <t>Website Hosting and Maintenance and Upgrades $2,000 annually. Social media Administration $375 monthly or $4,500 annually. New Home Owner Gifts and Misc $500.00 annually. ZOOM $4,056 yrly, EZ Texting $3,970 yrly; Vote HOA Now $1,205 annually, Dwelling Live $499  monthly or $5,988; $3,519 for Hybrid meeting set up.</t>
  </si>
  <si>
    <t>These items account for 82% of the 2025 deficit.</t>
  </si>
  <si>
    <t>2025 Monthly assessment at proposed $238 per month, without that there would be a budget deficit of $$295,848. 2024 assessment = $217.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</si>
</sst>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[Red]_(* \(#,##0\);_(* &quot;-&quot;_);_(@_)"/>
    <numFmt numFmtId="166" formatCode="_(&quot;$&quot;* #,##0.00_);[Red]_(&quot;$&quot;* \(#,##0.00\);_(&quot;$&quot;* &quot;-&quot;??_);_(@_)"/>
    <numFmt numFmtId="167" formatCode="&quot;$&quot;#,##0,&quot;k&quot;;\(&quot;$&quot;#,##0,\)&quot;k&quot;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3" applyFont="1"/>
    <xf numFmtId="164" fontId="4" fillId="0" borderId="0" xfId="4" quotePrefix="1" applyNumberFormat="1" applyFont="1" applyAlignment="1">
      <alignment horizontal="centerContinuous"/>
    </xf>
    <xf numFmtId="0" fontId="5" fillId="0" borderId="0" xfId="3" applyFont="1"/>
    <xf numFmtId="0" fontId="10" fillId="0" borderId="0" xfId="3" applyFont="1"/>
    <xf numFmtId="165" fontId="8" fillId="0" borderId="0" xfId="5" applyNumberFormat="1" applyFont="1" applyFill="1" applyBorder="1" applyAlignment="1">
      <alignment horizontal="right"/>
    </xf>
    <xf numFmtId="0" fontId="7" fillId="0" borderId="0" xfId="3" applyFont="1"/>
    <xf numFmtId="164" fontId="9" fillId="0" borderId="5" xfId="5" applyNumberFormat="1" applyFont="1" applyBorder="1" applyAlignment="1">
      <alignment horizontal="right"/>
    </xf>
    <xf numFmtId="0" fontId="5" fillId="0" borderId="6" xfId="3" applyFont="1" applyBorder="1"/>
    <xf numFmtId="166" fontId="9" fillId="0" borderId="6" xfId="6" quotePrefix="1" applyNumberFormat="1" applyFont="1" applyFill="1" applyBorder="1" applyAlignment="1">
      <alignment horizontal="right"/>
    </xf>
    <xf numFmtId="164" fontId="9" fillId="0" borderId="2" xfId="5" applyNumberFormat="1" applyFont="1" applyBorder="1" applyAlignment="1">
      <alignment horizontal="right"/>
    </xf>
    <xf numFmtId="166" fontId="9" fillId="0" borderId="0" xfId="6" quotePrefix="1" applyNumberFormat="1" applyFont="1" applyFill="1" applyBorder="1" applyAlignment="1">
      <alignment horizontal="right"/>
    </xf>
    <xf numFmtId="164" fontId="8" fillId="2" borderId="7" xfId="5" applyNumberFormat="1" applyFont="1" applyFill="1" applyBorder="1" applyAlignment="1">
      <alignment horizontal="right"/>
    </xf>
    <xf numFmtId="0" fontId="12" fillId="2" borderId="8" xfId="3" applyFont="1" applyFill="1" applyBorder="1"/>
    <xf numFmtId="166" fontId="8" fillId="2" borderId="8" xfId="6" quotePrefix="1" applyNumberFormat="1" applyFont="1" applyFill="1" applyBorder="1" applyAlignment="1">
      <alignment horizontal="right"/>
    </xf>
    <xf numFmtId="0" fontId="5" fillId="0" borderId="2" xfId="3" applyFont="1" applyBorder="1" applyAlignment="1">
      <alignment horizontal="right"/>
    </xf>
    <xf numFmtId="166" fontId="5" fillId="0" borderId="0" xfId="3" applyNumberFormat="1" applyFont="1"/>
    <xf numFmtId="0" fontId="13" fillId="4" borderId="7" xfId="3" applyFont="1" applyFill="1" applyBorder="1" applyAlignment="1">
      <alignment horizontal="center"/>
    </xf>
    <xf numFmtId="0" fontId="14" fillId="4" borderId="8" xfId="3" applyFont="1" applyFill="1" applyBorder="1"/>
    <xf numFmtId="166" fontId="14" fillId="4" borderId="8" xfId="3" applyNumberFormat="1" applyFont="1" applyFill="1" applyBorder="1"/>
    <xf numFmtId="9" fontId="9" fillId="0" borderId="0" xfId="2" quotePrefix="1" applyFont="1" applyFill="1" applyBorder="1" applyAlignment="1">
      <alignment horizontal="right"/>
    </xf>
    <xf numFmtId="9" fontId="8" fillId="2" borderId="8" xfId="2" quotePrefix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167" fontId="0" fillId="0" borderId="0" xfId="1" applyNumberFormat="1" applyFont="1"/>
    <xf numFmtId="167" fontId="0" fillId="0" borderId="0" xfId="0" applyNumberFormat="1"/>
    <xf numFmtId="167" fontId="0" fillId="0" borderId="0" xfId="0" applyNumberFormat="1" applyAlignment="1">
      <alignment horizontal="center" wrapText="1"/>
    </xf>
    <xf numFmtId="0" fontId="0" fillId="5" borderId="0" xfId="0" applyFill="1"/>
    <xf numFmtId="167" fontId="0" fillId="5" borderId="0" xfId="1" applyNumberFormat="1" applyFont="1" applyFill="1"/>
    <xf numFmtId="0" fontId="0" fillId="6" borderId="0" xfId="0" applyFill="1"/>
    <xf numFmtId="167" fontId="0" fillId="6" borderId="0" xfId="1" applyNumberFormat="1" applyFont="1" applyFill="1"/>
    <xf numFmtId="168" fontId="0" fillId="0" borderId="0" xfId="2" applyNumberFormat="1" applyFont="1"/>
    <xf numFmtId="9" fontId="0" fillId="0" borderId="0" xfId="2" applyFont="1"/>
    <xf numFmtId="0" fontId="5" fillId="0" borderId="0" xfId="3" applyFont="1" applyAlignment="1">
      <alignment wrapText="1"/>
    </xf>
    <xf numFmtId="165" fontId="5" fillId="0" borderId="0" xfId="3" applyNumberFormat="1" applyFont="1" applyAlignment="1">
      <alignment wrapText="1"/>
    </xf>
    <xf numFmtId="164" fontId="8" fillId="0" borderId="0" xfId="5" applyNumberFormat="1" applyFont="1" applyFill="1" applyBorder="1" applyAlignment="1">
      <alignment vertical="center"/>
    </xf>
    <xf numFmtId="165" fontId="7" fillId="0" borderId="0" xfId="3" applyNumberFormat="1" applyFont="1"/>
    <xf numFmtId="0" fontId="15" fillId="0" borderId="0" xfId="3" applyFont="1"/>
    <xf numFmtId="164" fontId="11" fillId="0" borderId="9" xfId="5" applyNumberFormat="1" applyFont="1" applyBorder="1" applyAlignment="1"/>
    <xf numFmtId="164" fontId="9" fillId="0" borderId="9" xfId="5" applyNumberFormat="1" applyFont="1" applyBorder="1" applyAlignment="1"/>
    <xf numFmtId="165" fontId="9" fillId="0" borderId="9" xfId="5" quotePrefix="1" applyNumberFormat="1" applyFont="1" applyFill="1" applyBorder="1" applyAlignment="1"/>
    <xf numFmtId="165" fontId="9" fillId="0" borderId="11" xfId="5" quotePrefix="1" applyNumberFormat="1" applyFont="1" applyFill="1" applyBorder="1" applyAlignme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164" fontId="6" fillId="7" borderId="1" xfId="4" quotePrefix="1" applyNumberFormat="1" applyFont="1" applyFill="1" applyBorder="1" applyAlignment="1">
      <alignment horizontal="center"/>
    </xf>
    <xf numFmtId="0" fontId="7" fillId="3" borderId="4" xfId="3" applyFont="1" applyFill="1" applyBorder="1" applyAlignment="1">
      <alignment horizontal="center"/>
    </xf>
    <xf numFmtId="0" fontId="8" fillId="7" borderId="1" xfId="5" applyNumberFormat="1" applyFont="1" applyFill="1" applyBorder="1" applyAlignment="1">
      <alignment horizontal="center"/>
    </xf>
    <xf numFmtId="0" fontId="5" fillId="0" borderId="0" xfId="3" applyFont="1" applyAlignment="1">
      <alignment horizontal="centerContinuous"/>
    </xf>
    <xf numFmtId="165" fontId="8" fillId="0" borderId="9" xfId="5" quotePrefix="1" applyNumberFormat="1" applyFont="1" applyFill="1" applyBorder="1" applyAlignment="1"/>
    <xf numFmtId="0" fontId="5" fillId="0" borderId="9" xfId="3" applyFont="1" applyBorder="1" applyAlignment="1">
      <alignment horizontal="left"/>
    </xf>
    <xf numFmtId="0" fontId="9" fillId="0" borderId="9" xfId="3" applyFont="1" applyBorder="1" applyAlignment="1">
      <alignment horizontal="left"/>
    </xf>
    <xf numFmtId="165" fontId="7" fillId="3" borderId="0" xfId="3" applyNumberFormat="1" applyFont="1" applyFill="1"/>
    <xf numFmtId="164" fontId="8" fillId="0" borderId="15" xfId="5" applyNumberFormat="1" applyFont="1" applyBorder="1" applyAlignment="1"/>
    <xf numFmtId="165" fontId="7" fillId="3" borderId="16" xfId="3" applyNumberFormat="1" applyFont="1" applyFill="1" applyBorder="1"/>
    <xf numFmtId="0" fontId="3" fillId="3" borderId="0" xfId="3" applyFont="1" applyFill="1"/>
    <xf numFmtId="165" fontId="8" fillId="0" borderId="15" xfId="5" quotePrefix="1" applyNumberFormat="1" applyFont="1" applyFill="1" applyBorder="1" applyAlignment="1"/>
    <xf numFmtId="6" fontId="5" fillId="0" borderId="0" xfId="3" applyNumberFormat="1" applyFont="1" applyAlignment="1">
      <alignment wrapText="1"/>
    </xf>
    <xf numFmtId="9" fontId="5" fillId="0" borderId="0" xfId="2" applyFont="1" applyAlignment="1">
      <alignment wrapText="1"/>
    </xf>
    <xf numFmtId="0" fontId="15" fillId="0" borderId="0" xfId="3" applyFont="1" applyAlignment="1">
      <alignment horizontal="right"/>
    </xf>
    <xf numFmtId="10" fontId="5" fillId="0" borderId="0" xfId="2" applyNumberFormat="1" applyFont="1" applyAlignment="1">
      <alignment wrapText="1"/>
    </xf>
    <xf numFmtId="10" fontId="8" fillId="0" borderId="0" xfId="2" applyNumberFormat="1" applyFont="1" applyFill="1" applyBorder="1" applyAlignment="1">
      <alignment horizontal="right"/>
    </xf>
    <xf numFmtId="164" fontId="16" fillId="0" borderId="2" xfId="5" applyNumberFormat="1" applyFont="1" applyBorder="1" applyAlignment="1"/>
    <xf numFmtId="165" fontId="2" fillId="3" borderId="0" xfId="3" applyNumberFormat="1" applyFont="1" applyFill="1"/>
    <xf numFmtId="165" fontId="16" fillId="0" borderId="0" xfId="5" applyNumberFormat="1" applyFont="1" applyFill="1" applyBorder="1" applyAlignment="1"/>
    <xf numFmtId="0" fontId="2" fillId="0" borderId="14" xfId="3" applyFont="1" applyBorder="1" applyAlignment="1">
      <alignment horizontal="left"/>
    </xf>
    <xf numFmtId="164" fontId="10" fillId="0" borderId="19" xfId="5" applyNumberFormat="1" applyFont="1" applyBorder="1" applyAlignment="1">
      <alignment vertical="top"/>
    </xf>
    <xf numFmtId="165" fontId="2" fillId="3" borderId="13" xfId="3" applyNumberFormat="1" applyFont="1" applyFill="1" applyBorder="1"/>
    <xf numFmtId="6" fontId="2" fillId="0" borderId="13" xfId="7" applyNumberFormat="1" applyFont="1" applyBorder="1" applyAlignment="1">
      <alignment vertical="top"/>
    </xf>
    <xf numFmtId="6" fontId="10" fillId="0" borderId="13" xfId="5" applyNumberFormat="1" applyFont="1" applyFill="1" applyBorder="1" applyAlignment="1">
      <alignment vertical="top"/>
    </xf>
    <xf numFmtId="0" fontId="2" fillId="0" borderId="20" xfId="3" applyFont="1" applyBorder="1" applyAlignment="1">
      <alignment horizontal="left" vertical="top" wrapText="1"/>
    </xf>
    <xf numFmtId="6" fontId="17" fillId="0" borderId="13" xfId="7" applyNumberFormat="1" applyFont="1" applyBorder="1" applyAlignment="1">
      <alignment vertical="top"/>
    </xf>
    <xf numFmtId="165" fontId="2" fillId="3" borderId="13" xfId="3" applyNumberFormat="1" applyFont="1" applyFill="1" applyBorder="1" applyAlignment="1">
      <alignment vertical="top"/>
    </xf>
    <xf numFmtId="0" fontId="2" fillId="0" borderId="20" xfId="3" applyFont="1" applyBorder="1" applyAlignment="1">
      <alignment vertical="top" wrapText="1"/>
    </xf>
    <xf numFmtId="164" fontId="10" fillId="0" borderId="21" xfId="5" applyNumberFormat="1" applyFont="1" applyBorder="1" applyAlignment="1">
      <alignment vertical="top"/>
    </xf>
    <xf numFmtId="165" fontId="2" fillId="3" borderId="16" xfId="3" applyNumberFormat="1" applyFont="1" applyFill="1" applyBorder="1" applyAlignment="1">
      <alignment vertical="top"/>
    </xf>
    <xf numFmtId="6" fontId="10" fillId="3" borderId="13" xfId="5" applyNumberFormat="1" applyFont="1" applyFill="1" applyBorder="1" applyAlignment="1">
      <alignment vertical="top"/>
    </xf>
    <xf numFmtId="164" fontId="6" fillId="0" borderId="10" xfId="5" applyNumberFormat="1" applyFont="1" applyBorder="1" applyAlignment="1"/>
    <xf numFmtId="165" fontId="2" fillId="3" borderId="3" xfId="3" applyNumberFormat="1" applyFont="1" applyFill="1" applyBorder="1"/>
    <xf numFmtId="6" fontId="6" fillId="0" borderId="17" xfId="5" applyNumberFormat="1" applyFont="1" applyFill="1" applyBorder="1" applyAlignment="1">
      <alignment vertical="top"/>
    </xf>
    <xf numFmtId="0" fontId="2" fillId="0" borderId="9" xfId="3" applyFont="1" applyBorder="1" applyAlignment="1">
      <alignment vertical="top" wrapText="1"/>
    </xf>
    <xf numFmtId="164" fontId="6" fillId="0" borderId="2" xfId="5" applyNumberFormat="1" applyFont="1" applyBorder="1" applyAlignment="1"/>
    <xf numFmtId="6" fontId="6" fillId="0" borderId="0" xfId="5" applyNumberFormat="1" applyFont="1" applyFill="1" applyBorder="1" applyAlignment="1">
      <alignment vertical="top"/>
    </xf>
    <xf numFmtId="0" fontId="2" fillId="0" borderId="14" xfId="3" applyFont="1" applyBorder="1" applyAlignment="1">
      <alignment vertical="top" wrapText="1"/>
    </xf>
    <xf numFmtId="6" fontId="16" fillId="0" borderId="0" xfId="5" applyNumberFormat="1" applyFont="1" applyFill="1" applyBorder="1" applyAlignment="1">
      <alignment vertical="top"/>
    </xf>
    <xf numFmtId="6" fontId="10" fillId="0" borderId="0" xfId="5" applyNumberFormat="1" applyFont="1" applyFill="1" applyBorder="1" applyAlignment="1">
      <alignment vertical="top"/>
    </xf>
    <xf numFmtId="165" fontId="2" fillId="3" borderId="13" xfId="3" applyNumberFormat="1" applyFont="1" applyFill="1" applyBorder="1" applyAlignment="1">
      <alignment vertical="center"/>
    </xf>
    <xf numFmtId="6" fontId="6" fillId="0" borderId="10" xfId="5" applyNumberFormat="1" applyFont="1" applyFill="1" applyBorder="1" applyAlignment="1">
      <alignment vertical="top"/>
    </xf>
    <xf numFmtId="165" fontId="6" fillId="0" borderId="15" xfId="5" applyNumberFormat="1" applyFont="1" applyFill="1" applyBorder="1" applyAlignment="1">
      <alignment vertical="top"/>
    </xf>
    <xf numFmtId="165" fontId="6" fillId="0" borderId="14" xfId="5" applyNumberFormat="1" applyFont="1" applyFill="1" applyBorder="1" applyAlignment="1">
      <alignment vertical="top"/>
    </xf>
    <xf numFmtId="164" fontId="6" fillId="0" borderId="17" xfId="5" applyNumberFormat="1" applyFont="1" applyBorder="1" applyAlignment="1"/>
    <xf numFmtId="165" fontId="2" fillId="3" borderId="18" xfId="3" applyNumberFormat="1" applyFont="1" applyFill="1" applyBorder="1"/>
    <xf numFmtId="165" fontId="2" fillId="0" borderId="9" xfId="3" applyNumberFormat="1" applyFont="1" applyBorder="1" applyAlignment="1">
      <alignment vertical="top" wrapText="1"/>
    </xf>
    <xf numFmtId="164" fontId="6" fillId="0" borderId="9" xfId="5" applyNumberFormat="1" applyFont="1" applyBorder="1" applyAlignment="1"/>
    <xf numFmtId="0" fontId="2" fillId="3" borderId="0" xfId="3" applyFont="1" applyFill="1"/>
    <xf numFmtId="6" fontId="6" fillId="0" borderId="9" xfId="5" applyNumberFormat="1" applyFont="1" applyFill="1" applyBorder="1" applyAlignment="1">
      <alignment vertical="top"/>
    </xf>
    <xf numFmtId="6" fontId="6" fillId="0" borderId="12" xfId="5" applyNumberFormat="1" applyFont="1" applyFill="1" applyBorder="1" applyAlignment="1">
      <alignment vertical="top"/>
    </xf>
    <xf numFmtId="164" fontId="6" fillId="0" borderId="1" xfId="5" applyNumberFormat="1" applyFont="1" applyFill="1" applyBorder="1" applyAlignment="1"/>
    <xf numFmtId="165" fontId="2" fillId="0" borderId="4" xfId="3" applyNumberFormat="1" applyFont="1" applyBorder="1"/>
    <xf numFmtId="6" fontId="6" fillId="0" borderId="1" xfId="5" applyNumberFormat="1" applyFont="1" applyFill="1" applyBorder="1" applyAlignment="1">
      <alignment vertical="top"/>
    </xf>
    <xf numFmtId="0" fontId="2" fillId="0" borderId="12" xfId="3" applyFont="1" applyBorder="1" applyAlignment="1">
      <alignment vertical="top"/>
    </xf>
    <xf numFmtId="164" fontId="6" fillId="0" borderId="0" xfId="5" applyNumberFormat="1" applyFont="1" applyFill="1" applyBorder="1" applyAlignment="1">
      <alignment vertical="center"/>
    </xf>
    <xf numFmtId="165" fontId="2" fillId="0" borderId="0" xfId="3" applyNumberFormat="1" applyFont="1"/>
    <xf numFmtId="165" fontId="6" fillId="0" borderId="0" xfId="5" applyNumberFormat="1" applyFont="1" applyFill="1" applyBorder="1" applyAlignment="1">
      <alignment horizontal="right"/>
    </xf>
    <xf numFmtId="165" fontId="6" fillId="3" borderId="13" xfId="5" applyNumberFormat="1" applyFont="1" applyFill="1" applyBorder="1" applyAlignment="1">
      <alignment horizontal="right"/>
    </xf>
    <xf numFmtId="0" fontId="2" fillId="0" borderId="13" xfId="3" applyFont="1" applyBorder="1"/>
    <xf numFmtId="0" fontId="2" fillId="0" borderId="20" xfId="3" applyFont="1" applyBorder="1" applyAlignment="1">
      <alignment horizontal="left" vertical="center" wrapText="1"/>
    </xf>
    <xf numFmtId="0" fontId="2" fillId="0" borderId="22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/>
    </xf>
    <xf numFmtId="0" fontId="2" fillId="0" borderId="22" xfId="3" applyFont="1" applyBorder="1" applyAlignment="1">
      <alignment horizontal="left" vertical="top"/>
    </xf>
    <xf numFmtId="0" fontId="2" fillId="0" borderId="22" xfId="3" applyFont="1" applyBorder="1" applyAlignment="1">
      <alignment vertical="top" wrapText="1"/>
    </xf>
    <xf numFmtId="6" fontId="6" fillId="0" borderId="23" xfId="5" applyNumberFormat="1" applyFont="1" applyFill="1" applyBorder="1" applyAlignment="1">
      <alignment vertical="top"/>
    </xf>
    <xf numFmtId="164" fontId="4" fillId="0" borderId="0" xfId="4" quotePrefix="1" applyNumberFormat="1" applyFont="1" applyAlignment="1">
      <alignment horizontal="center"/>
    </xf>
  </cellXfs>
  <cellStyles count="8">
    <cellStyle name="Comma" xfId="7" builtinId="3"/>
    <cellStyle name="Comma 43" xfId="5" xr:uid="{00000000-0005-0000-0000-000001000000}"/>
    <cellStyle name="Currency" xfId="1" builtinId="4"/>
    <cellStyle name="Currency 17" xfId="6" xr:uid="{00000000-0005-0000-0000-000003000000}"/>
    <cellStyle name="Normal" xfId="0" builtinId="0"/>
    <cellStyle name="Normal 82" xfId="3" xr:uid="{00000000-0005-0000-0000-000005000000}"/>
    <cellStyle name="Normal_Sheet1" xfId="4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2019 Budget - Total Expense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64862184275611"/>
          <c:y val="0.18948830856900653"/>
          <c:w val="0.42368575121747115"/>
          <c:h val="0.64183234110840759"/>
        </c:manualLayout>
      </c:layout>
      <c:pieChart>
        <c:varyColors val="1"/>
        <c:ser>
          <c:idx val="0"/>
          <c:order val="0"/>
          <c:tx>
            <c:v>2016 Budget - Total Expense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1C-4F3B-86C3-884515C38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1C-4F3B-86C3-884515C38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1C-4F3B-86C3-884515C38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1C-4F3B-86C3-884515C38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1C-4F3B-86C3-884515C38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1C-4F3B-86C3-884515C38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1C-4F3B-86C3-884515C38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1C-4F3B-86C3-884515C38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21C-4F3B-86C3-884515C38B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21C-4F3B-86C3-884515C38B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21C-4F3B-86C3-884515C38B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221C-4F3B-86C3-884515C38BF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221C-4F3B-86C3-884515C38BF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221C-4F3B-86C3-884515C38BF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221C-4F3B-86C3-884515C38BF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21C-4F3B-86C3-884515C38BF3}"/>
              </c:ext>
            </c:extLst>
          </c:dPt>
          <c:dLbls>
            <c:dLbl>
              <c:idx val="0"/>
              <c:layout>
                <c:manualLayout>
                  <c:x val="-6.0917397587932541E-2"/>
                  <c:y val="0.119399210457558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1C-4F3B-86C3-884515C38BF3}"/>
                </c:ext>
              </c:extLst>
            </c:dLbl>
            <c:dLbl>
              <c:idx val="1"/>
              <c:layout>
                <c:manualLayout>
                  <c:x val="-0.12689728199520334"/>
                  <c:y val="-2.95580020232372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1C-4F3B-86C3-884515C38BF3}"/>
                </c:ext>
              </c:extLst>
            </c:dLbl>
            <c:dLbl>
              <c:idx val="2"/>
              <c:layout>
                <c:manualLayout>
                  <c:x val="-8.9164962981560181E-2"/>
                  <c:y val="-8.74583037025288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1C-4F3B-86C3-884515C38BF3}"/>
                </c:ext>
              </c:extLst>
            </c:dLbl>
            <c:dLbl>
              <c:idx val="3"/>
              <c:layout>
                <c:manualLayout>
                  <c:x val="-4.3142198942785351E-3"/>
                  <c:y val="-8.37974642182428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1C-4F3B-86C3-884515C38BF3}"/>
                </c:ext>
              </c:extLst>
            </c:dLbl>
            <c:dLbl>
              <c:idx val="4"/>
              <c:layout>
                <c:manualLayout>
                  <c:x val="9.6907003756584995E-2"/>
                  <c:y val="-0.102077452508274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1C-4F3B-86C3-884515C38BF3}"/>
                </c:ext>
              </c:extLst>
            </c:dLbl>
            <c:dLbl>
              <c:idx val="5"/>
              <c:layout>
                <c:manualLayout>
                  <c:x val="8.5165685237856059E-2"/>
                  <c:y val="-5.24878015600399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1C-4F3B-86C3-884515C38BF3}"/>
                </c:ext>
              </c:extLst>
            </c:dLbl>
            <c:dLbl>
              <c:idx val="6"/>
              <c:layout>
                <c:manualLayout>
                  <c:x val="5.7388086775435061E-2"/>
                  <c:y val="1.61158780109324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1C-4F3B-86C3-884515C38BF3}"/>
                </c:ext>
              </c:extLst>
            </c:dLbl>
            <c:dLbl>
              <c:idx val="7"/>
              <c:layout>
                <c:manualLayout>
                  <c:x val="-4.5635122746256494E-2"/>
                  <c:y val="5.21152982845731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1C-4F3B-86C3-884515C38BF3}"/>
                </c:ext>
              </c:extLst>
            </c:dLbl>
            <c:dLbl>
              <c:idx val="8"/>
              <c:layout>
                <c:manualLayout>
                  <c:x val="-6.7975537860957905E-2"/>
                  <c:y val="5.18072992724410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1C-4F3B-86C3-884515C38BF3}"/>
                </c:ext>
              </c:extLst>
            </c:dLbl>
            <c:dLbl>
              <c:idx val="9"/>
              <c:layout>
                <c:manualLayout>
                  <c:x val="-6.6693016534669344E-2"/>
                  <c:y val="4.18850269494066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1C-4F3B-86C3-884515C38BF3}"/>
                </c:ext>
              </c:extLst>
            </c:dLbl>
            <c:dLbl>
              <c:idx val="10"/>
              <c:layout>
                <c:manualLayout>
                  <c:x val="-9.5555023980033113E-2"/>
                  <c:y val="1.62543994789767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1C-4F3B-86C3-884515C38BF3}"/>
                </c:ext>
              </c:extLst>
            </c:dLbl>
            <c:dLbl>
              <c:idx val="11"/>
              <c:layout>
                <c:manualLayout>
                  <c:x val="-0.11463693201060048"/>
                  <c:y val="-1.99899266682536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1C-4F3B-86C3-884515C38BF3}"/>
                </c:ext>
              </c:extLst>
            </c:dLbl>
            <c:dLbl>
              <c:idx val="12"/>
              <c:layout>
                <c:manualLayout>
                  <c:x val="-9.2407028649250059E-2"/>
                  <c:y val="-5.62291837073186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1C-4F3B-86C3-884515C38BF3}"/>
                </c:ext>
              </c:extLst>
            </c:dLbl>
            <c:dLbl>
              <c:idx val="13"/>
              <c:layout>
                <c:manualLayout>
                  <c:x val="8.0798746628691978E-2"/>
                  <c:y val="-7.708057005408861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49418953690589"/>
                      <c:h val="4.1096089097125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221C-4F3B-86C3-884515C38BF3}"/>
                </c:ext>
              </c:extLst>
            </c:dLbl>
            <c:dLbl>
              <c:idx val="14"/>
              <c:layout>
                <c:manualLayout>
                  <c:x val="0.30259211972157091"/>
                  <c:y val="-2.9175645606510689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21173122658423"/>
                      <c:h val="3.5350242503619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221C-4F3B-86C3-884515C38BF3}"/>
                </c:ext>
              </c:extLst>
            </c:dLbl>
            <c:dLbl>
              <c:idx val="15"/>
              <c:layout>
                <c:manualLayout>
                  <c:x val="0.25883727045303234"/>
                  <c:y val="2.7581611347733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21C-4F3B-86C3-884515C38BF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Charts!$R$33:$R$48</c:f>
              <c:strCache>
                <c:ptCount val="16"/>
                <c:pt idx="0">
                  <c:v>Security</c:v>
                </c:pt>
                <c:pt idx="1">
                  <c:v>Management Fees/Staffing</c:v>
                </c:pt>
                <c:pt idx="2">
                  <c:v>Electricity-S&amp;T/General</c:v>
                </c:pt>
                <c:pt idx="3">
                  <c:v>Golf Assessment</c:v>
                </c:pt>
                <c:pt idx="4">
                  <c:v>Landscape Contract</c:v>
                </c:pt>
                <c:pt idx="5">
                  <c:v>Repairs</c:v>
                </c:pt>
                <c:pt idx="6">
                  <c:v>Other S&amp;T Operating</c:v>
                </c:pt>
                <c:pt idx="7">
                  <c:v>General Admin</c:v>
                </c:pt>
                <c:pt idx="8">
                  <c:v>Homeowner Events</c:v>
                </c:pt>
                <c:pt idx="9">
                  <c:v>Snow Removal</c:v>
                </c:pt>
                <c:pt idx="10">
                  <c:v>Insurance</c:v>
                </c:pt>
                <c:pt idx="11">
                  <c:v>Pool Contract</c:v>
                </c:pt>
                <c:pt idx="12">
                  <c:v>Professional Fees</c:v>
                </c:pt>
                <c:pt idx="13">
                  <c:v>Website/Communications</c:v>
                </c:pt>
                <c:pt idx="14">
                  <c:v>Allowance for Doubtful Accts</c:v>
                </c:pt>
                <c:pt idx="15">
                  <c:v>Board Meeting</c:v>
                </c:pt>
              </c:strCache>
            </c:strRef>
          </c:cat>
          <c:val>
            <c:numRef>
              <c:f>Charts!$S$33:$S$48</c:f>
              <c:numCache>
                <c:formatCode>"$"#,##0,"k";\("$"#,##0,\)"k"</c:formatCode>
                <c:ptCount val="16"/>
                <c:pt idx="0">
                  <c:v>426240</c:v>
                </c:pt>
                <c:pt idx="1">
                  <c:v>341837</c:v>
                </c:pt>
                <c:pt idx="2">
                  <c:v>232140</c:v>
                </c:pt>
                <c:pt idx="3">
                  <c:v>183870</c:v>
                </c:pt>
                <c:pt idx="4">
                  <c:v>226800</c:v>
                </c:pt>
                <c:pt idx="5">
                  <c:v>204732</c:v>
                </c:pt>
                <c:pt idx="6">
                  <c:v>122410</c:v>
                </c:pt>
                <c:pt idx="7">
                  <c:v>53090</c:v>
                </c:pt>
                <c:pt idx="8">
                  <c:v>94000</c:v>
                </c:pt>
                <c:pt idx="9">
                  <c:v>75193</c:v>
                </c:pt>
                <c:pt idx="10">
                  <c:v>42000</c:v>
                </c:pt>
                <c:pt idx="11">
                  <c:v>38000</c:v>
                </c:pt>
                <c:pt idx="12">
                  <c:v>110800</c:v>
                </c:pt>
                <c:pt idx="13">
                  <c:v>13250</c:v>
                </c:pt>
                <c:pt idx="14">
                  <c:v>60480</c:v>
                </c:pt>
                <c:pt idx="1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21C-4F3B-86C3-884515C38B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150036</xdr:colOff>
      <xdr:row>2</xdr:row>
      <xdr:rowOff>51955</xdr:rowOff>
    </xdr:from>
    <xdr:to>
      <xdr:col>16</xdr:col>
      <xdr:colOff>445387</xdr:colOff>
      <xdr:row>35</xdr:row>
      <xdr:rowOff>20207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0.03903</cdr:x>
      <cdr:y>0.69099</cdr:y>
    </cdr:from>
    <cdr:to>
      <cdr:x>0.50336</cdr:x>
      <cdr:y>0.98283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094C32C-0DE5-42DE-A82A-038A1D64679D}"/>
            </a:ext>
          </a:extLst>
        </cdr:cNvPr>
        <cdr:cNvSpPr txBox="1"/>
      </cdr:nvSpPr>
      <cdr:spPr>
        <a:xfrm xmlns:a="http://schemas.openxmlformats.org/drawingml/2006/main">
          <a:off x="306918" y="3407834"/>
          <a:ext cx="3651250" cy="143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0.82926</cdr:y>
    </cdr:from>
    <cdr:to>
      <cdr:x>0.98766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044C83A-8808-45A1-AB53-3D1A5165AB1B}"/>
            </a:ext>
          </a:extLst>
        </cdr:cNvPr>
        <cdr:cNvSpPr txBox="1"/>
      </cdr:nvSpPr>
      <cdr:spPr>
        <a:xfrm xmlns:a="http://schemas.openxmlformats.org/drawingml/2006/main">
          <a:off x="0" y="5186796"/>
          <a:ext cx="9870245" cy="10679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50"/>
            <a:t>-</a:t>
          </a:r>
          <a:r>
            <a:rPr lang="en-US" sz="950" baseline="0"/>
            <a:t> </a:t>
          </a:r>
          <a:r>
            <a:rPr lang="en-US" sz="950" b="1" u="sng" baseline="0"/>
            <a:t>2019 Budget income of $2.24m:</a:t>
          </a:r>
          <a:r>
            <a:rPr lang="en-US" sz="950" baseline="0"/>
            <a:t> comprised of $2.39m Assessment Income ($0 increase), -$242k Reserve Funding per study, and $92k Other Income (developer contributions, late fees/penalties, etc.)</a:t>
          </a:r>
          <a:endParaRPr lang="en-US" sz="950"/>
        </a:p>
        <a:p xmlns:a="http://schemas.openxmlformats.org/drawingml/2006/main">
          <a:pPr algn="l"/>
          <a:endParaRPr lang="en-US" sz="600"/>
        </a:p>
        <a:p xmlns:a="http://schemas.openxmlformats.org/drawingml/2006/main">
          <a:pPr algn="l"/>
          <a:r>
            <a:rPr lang="en-US" sz="950"/>
            <a:t>-</a:t>
          </a:r>
          <a:r>
            <a:rPr lang="en-US" sz="950" b="1" u="sng"/>
            <a:t> $1.69m</a:t>
          </a:r>
          <a:r>
            <a:rPr lang="en-US" sz="950" b="1" u="sng" baseline="0"/>
            <a:t> or 75</a:t>
          </a:r>
          <a:r>
            <a:rPr lang="en-US" sz="950" b="1" u="sng"/>
            <a:t>% of total expenses are primarily fixed:</a:t>
          </a:r>
          <a:r>
            <a:rPr lang="en-US" sz="950" baseline="0"/>
            <a:t> 4 major expenses (s</a:t>
          </a:r>
          <a:r>
            <a:rPr lang="en-US" sz="950"/>
            <a:t>ecurity, management fees, community electricity, and golf fee) </a:t>
          </a:r>
          <a:r>
            <a:rPr lang="en-US" sz="950" baseline="0"/>
            <a:t>account for $1.18m or 53% of total expenses.</a:t>
          </a:r>
        </a:p>
        <a:p xmlns:a="http://schemas.openxmlformats.org/drawingml/2006/main">
          <a:pPr algn="l"/>
          <a:endParaRPr lang="en-US" sz="600" baseline="0"/>
        </a:p>
        <a:p xmlns:a="http://schemas.openxmlformats.org/drawingml/2006/main">
          <a:pPr algn="l"/>
          <a:r>
            <a:rPr lang="en-US" sz="950" baseline="0"/>
            <a:t>- </a:t>
          </a:r>
          <a:r>
            <a:rPr lang="en-US" sz="950" b="1" u="sng" baseline="0"/>
            <a:t>Out of the remaining 25%:</a:t>
          </a:r>
          <a:r>
            <a:rPr lang="en-US" sz="950" b="0" u="none" baseline="0"/>
            <a:t> 9</a:t>
          </a:r>
          <a:r>
            <a:rPr lang="en-US" sz="950" baseline="0"/>
            <a:t>% or $205K is being set aside for increasing general repair costs, and the remaining 16% or $347k accounts for </a:t>
          </a:r>
          <a:r>
            <a:rPr lang="en-US" sz="950" baseline="0">
              <a:effectLst/>
              <a:latin typeface="+mn-lt"/>
              <a:ea typeface="+mn-ea"/>
              <a:cs typeface="+mn-cs"/>
            </a:rPr>
            <a:t>homeowner events</a:t>
          </a:r>
          <a:r>
            <a:rPr lang="en-US" sz="950" baseline="0"/>
            <a:t>, professional fees and other general admin fees.</a:t>
          </a:r>
          <a:endParaRPr lang="en-US" sz="9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_data"/>
      <sheetName val="#REF"/>
      <sheetName val="RollFWD"/>
      <sheetName val="6M IS"/>
      <sheetName val="12M IS"/>
      <sheetName val="Analysis"/>
      <sheetName val="Scenario"/>
      <sheetName val="Charts"/>
      <sheetName val="BalanceSheet"/>
      <sheetName val="INPUTS"/>
      <sheetName val="Data"/>
      <sheetName val="Not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34">
          <cell r="Q34" t="str">
            <v>Security</v>
          </cell>
        </row>
      </sheetData>
      <sheetData sheetId="8"/>
      <sheetData sheetId="9" refreshError="1">
        <row r="2">
          <cell r="H2" t="str">
            <v>Actual</v>
          </cell>
        </row>
        <row r="3">
          <cell r="H3" t="str">
            <v>Budget</v>
          </cell>
        </row>
        <row r="4">
          <cell r="H4" t="str">
            <v>Forecast</v>
          </cell>
          <cell r="J4" t="str">
            <v>January</v>
          </cell>
        </row>
        <row r="5">
          <cell r="H5" t="str">
            <v>&lt;blank&gt;</v>
          </cell>
          <cell r="J5" t="str">
            <v>February</v>
          </cell>
        </row>
        <row r="6">
          <cell r="J6" t="str">
            <v>March</v>
          </cell>
        </row>
        <row r="7">
          <cell r="J7" t="str">
            <v>April</v>
          </cell>
        </row>
        <row r="8">
          <cell r="J8" t="str">
            <v>May</v>
          </cell>
        </row>
        <row r="9">
          <cell r="J9" t="str">
            <v>June</v>
          </cell>
        </row>
        <row r="10">
          <cell r="J10" t="str">
            <v>July</v>
          </cell>
        </row>
        <row r="11">
          <cell r="J11" t="str">
            <v>August</v>
          </cell>
        </row>
        <row r="12">
          <cell r="J12" t="str">
            <v>September</v>
          </cell>
        </row>
        <row r="13">
          <cell r="J13" t="str">
            <v>October</v>
          </cell>
        </row>
        <row r="14">
          <cell r="J14" t="str">
            <v>November</v>
          </cell>
        </row>
        <row r="15">
          <cell r="J15" t="str">
            <v>December</v>
          </cell>
        </row>
        <row r="17">
          <cell r="A17" t="str">
            <v>OCCTotal</v>
          </cell>
        </row>
        <row r="19">
          <cell r="R19" t="str">
            <v>2009</v>
          </cell>
        </row>
        <row r="20">
          <cell r="R20" t="str">
            <v>2010</v>
          </cell>
        </row>
        <row r="21">
          <cell r="R21" t="str">
            <v>2011</v>
          </cell>
        </row>
        <row r="22">
          <cell r="R22" t="str">
            <v>2012</v>
          </cell>
        </row>
        <row r="23">
          <cell r="R23" t="str">
            <v>2013</v>
          </cell>
        </row>
        <row r="24">
          <cell r="R24" t="str">
            <v>2014</v>
          </cell>
        </row>
        <row r="25">
          <cell r="R25" t="str">
            <v>2015</v>
          </cell>
        </row>
        <row r="26">
          <cell r="R26" t="str">
            <v>2016</v>
          </cell>
        </row>
        <row r="27">
          <cell r="R27" t="str">
            <v>2017</v>
          </cell>
        </row>
        <row r="28">
          <cell r="R28" t="str">
            <v>2018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I138"/>
  <sheetViews>
    <sheetView showGridLines="0" tabSelected="1" topLeftCell="A4" zoomScaleNormal="100" workbookViewId="0">
      <selection activeCell="H11" sqref="H11"/>
    </sheetView>
  </sheetViews>
  <sheetFormatPr defaultColWidth="9.1796875" defaultRowHeight="14.5" outlineLevelRow="1" x14ac:dyDescent="0.35"/>
  <cols>
    <col min="2" max="2" width="30.26953125" style="1" bestFit="1" customWidth="1"/>
    <col min="3" max="3" width="12" style="1" hidden="1" customWidth="1"/>
    <col min="4" max="4" width="21.1796875" style="1" hidden="1" customWidth="1"/>
    <col min="5" max="5" width="16.1796875" style="1" customWidth="1"/>
    <col min="6" max="6" width="16.36328125" style="1" customWidth="1"/>
    <col min="7" max="7" width="19.54296875" style="3" customWidth="1"/>
    <col min="8" max="8" width="68.54296875" style="3" customWidth="1"/>
    <col min="9" max="9" width="6.08984375" style="1" customWidth="1"/>
    <col min="10" max="16384" width="9.1796875" style="1"/>
  </cols>
  <sheetData>
    <row r="2" spans="1:9" ht="18" x14ac:dyDescent="0.4">
      <c r="E2" s="2"/>
      <c r="G2" s="2"/>
    </row>
    <row r="3" spans="1:9" ht="18" x14ac:dyDescent="0.4">
      <c r="B3" s="110" t="s">
        <v>66</v>
      </c>
      <c r="C3" s="110"/>
      <c r="D3" s="110"/>
      <c r="E3" s="110"/>
      <c r="F3" s="110"/>
      <c r="G3" s="110"/>
      <c r="H3" s="110"/>
    </row>
    <row r="4" spans="1:9" ht="15" thickBot="1" x14ac:dyDescent="0.4">
      <c r="E4" s="36"/>
      <c r="F4" s="36"/>
      <c r="G4" s="46"/>
    </row>
    <row r="5" spans="1:9" ht="15" thickBot="1" x14ac:dyDescent="0.4">
      <c r="B5" s="43"/>
      <c r="C5" s="44" t="s">
        <v>0</v>
      </c>
      <c r="D5" s="44"/>
      <c r="E5" s="45">
        <v>2025</v>
      </c>
      <c r="F5" s="45">
        <v>2024</v>
      </c>
      <c r="G5" s="45" t="s">
        <v>71</v>
      </c>
      <c r="H5" s="45" t="s">
        <v>67</v>
      </c>
    </row>
    <row r="6" spans="1:9" s="4" customFormat="1" hidden="1" x14ac:dyDescent="0.35">
      <c r="A6"/>
      <c r="B6" s="37" t="s">
        <v>1</v>
      </c>
      <c r="C6" s="53"/>
      <c r="D6" s="53"/>
      <c r="E6" s="39"/>
      <c r="F6" s="39"/>
      <c r="G6" s="39"/>
      <c r="H6" s="49"/>
    </row>
    <row r="7" spans="1:9" hidden="1" x14ac:dyDescent="0.35">
      <c r="B7" s="38" t="s">
        <v>2</v>
      </c>
      <c r="C7" s="50"/>
      <c r="D7" s="50" t="s">
        <v>3</v>
      </c>
      <c r="E7" s="39">
        <f>+F11/190</f>
        <v>16089.978947368421</v>
      </c>
      <c r="F7" s="39" t="e">
        <f>+#REF!/190</f>
        <v>#REF!</v>
      </c>
      <c r="G7" s="39"/>
      <c r="H7" s="48"/>
    </row>
    <row r="8" spans="1:9" hidden="1" x14ac:dyDescent="0.35">
      <c r="B8" s="38"/>
      <c r="C8" s="50"/>
      <c r="D8" s="50"/>
      <c r="E8" s="40">
        <v>0</v>
      </c>
      <c r="F8" s="40">
        <v>0</v>
      </c>
      <c r="G8" s="39"/>
      <c r="H8" s="48"/>
    </row>
    <row r="9" spans="1:9" hidden="1" x14ac:dyDescent="0.35">
      <c r="B9" s="51" t="s">
        <v>4</v>
      </c>
      <c r="C9" s="52"/>
      <c r="D9" s="52"/>
      <c r="E9" s="54">
        <f>SUM(E7:E8)</f>
        <v>16089.978947368421</v>
      </c>
      <c r="F9" s="54" t="e">
        <f>SUM(F7:F8)</f>
        <v>#REF!</v>
      </c>
      <c r="G9" s="47"/>
      <c r="H9" s="48"/>
    </row>
    <row r="10" spans="1:9" x14ac:dyDescent="0.35">
      <c r="B10" s="60" t="s">
        <v>5</v>
      </c>
      <c r="C10" s="61"/>
      <c r="D10" s="61"/>
      <c r="E10" s="62"/>
      <c r="F10" s="62"/>
      <c r="G10" s="62"/>
      <c r="H10" s="63"/>
    </row>
    <row r="11" spans="1:9" ht="29" customHeight="1" outlineLevel="1" x14ac:dyDescent="0.35">
      <c r="B11" s="64" t="s">
        <v>6</v>
      </c>
      <c r="C11" s="65"/>
      <c r="D11" s="65" t="s">
        <v>6</v>
      </c>
      <c r="E11" s="66">
        <v>3057096</v>
      </c>
      <c r="F11" s="67">
        <v>3057096</v>
      </c>
      <c r="G11" s="67">
        <f t="shared" ref="G11:G17" si="0">E11-F11</f>
        <v>0</v>
      </c>
      <c r="H11" s="105" t="s">
        <v>94</v>
      </c>
      <c r="I11" s="32"/>
    </row>
    <row r="12" spans="1:9" ht="25" customHeight="1" outlineLevel="1" x14ac:dyDescent="0.35">
      <c r="B12" s="64" t="s">
        <v>7</v>
      </c>
      <c r="C12" s="65"/>
      <c r="D12" s="65" t="s">
        <v>7</v>
      </c>
      <c r="E12" s="69">
        <v>-710440</v>
      </c>
      <c r="F12" s="67">
        <v>-676610</v>
      </c>
      <c r="G12" s="67">
        <f t="shared" si="0"/>
        <v>-33830</v>
      </c>
      <c r="H12" s="106" t="s">
        <v>82</v>
      </c>
      <c r="I12" s="32"/>
    </row>
    <row r="13" spans="1:9" ht="25" customHeight="1" outlineLevel="1" x14ac:dyDescent="0.35">
      <c r="B13" s="64" t="s">
        <v>72</v>
      </c>
      <c r="C13" s="65"/>
      <c r="D13" s="65"/>
      <c r="E13" s="67">
        <v>12500</v>
      </c>
      <c r="F13" s="67">
        <v>10000</v>
      </c>
      <c r="G13" s="67">
        <f t="shared" si="0"/>
        <v>2500</v>
      </c>
      <c r="H13" s="107"/>
      <c r="I13" s="32"/>
    </row>
    <row r="14" spans="1:9" ht="25" customHeight="1" outlineLevel="1" x14ac:dyDescent="0.35">
      <c r="B14" s="64" t="s">
        <v>73</v>
      </c>
      <c r="C14" s="65"/>
      <c r="D14" s="65"/>
      <c r="E14" s="67">
        <v>-70692</v>
      </c>
      <c r="F14" s="67">
        <v>-64801</v>
      </c>
      <c r="G14" s="67">
        <f t="shared" si="0"/>
        <v>-5891</v>
      </c>
      <c r="H14" s="107"/>
      <c r="I14" s="32"/>
    </row>
    <row r="15" spans="1:9" ht="32" customHeight="1" outlineLevel="1" x14ac:dyDescent="0.35">
      <c r="B15" s="64" t="s">
        <v>65</v>
      </c>
      <c r="C15" s="70"/>
      <c r="D15" s="70" t="s">
        <v>8</v>
      </c>
      <c r="E15" s="66">
        <v>161388</v>
      </c>
      <c r="F15" s="66">
        <v>159260</v>
      </c>
      <c r="G15" s="67">
        <f t="shared" si="0"/>
        <v>2128</v>
      </c>
      <c r="H15" s="108" t="s">
        <v>81</v>
      </c>
      <c r="I15" s="32"/>
    </row>
    <row r="16" spans="1:9" ht="20.5" customHeight="1" outlineLevel="1" x14ac:dyDescent="0.35">
      <c r="B16" s="72" t="s">
        <v>75</v>
      </c>
      <c r="C16" s="73"/>
      <c r="D16" s="73"/>
      <c r="E16" s="66">
        <v>0</v>
      </c>
      <c r="F16" s="66">
        <v>90564</v>
      </c>
      <c r="G16" s="74">
        <f t="shared" si="0"/>
        <v>-90564</v>
      </c>
      <c r="H16" s="108" t="s">
        <v>80</v>
      </c>
      <c r="I16" s="32"/>
    </row>
    <row r="17" spans="1:9" ht="15" thickBot="1" x14ac:dyDescent="0.4">
      <c r="B17" s="75" t="s">
        <v>74</v>
      </c>
      <c r="C17" s="76"/>
      <c r="D17" s="76"/>
      <c r="E17" s="77">
        <f>SUM(E11:E15)</f>
        <v>2449852</v>
      </c>
      <c r="F17" s="77">
        <f>SUM(F11:F16)</f>
        <v>2575509</v>
      </c>
      <c r="G17" s="109">
        <f t="shared" si="0"/>
        <v>-125657</v>
      </c>
      <c r="H17" s="81"/>
      <c r="I17" s="32"/>
    </row>
    <row r="18" spans="1:9" ht="15" thickTop="1" x14ac:dyDescent="0.35">
      <c r="B18" s="79"/>
      <c r="C18" s="61"/>
      <c r="D18" s="61"/>
      <c r="E18" s="80"/>
      <c r="F18" s="80"/>
      <c r="G18" s="80"/>
      <c r="H18" s="81"/>
      <c r="I18" s="32"/>
    </row>
    <row r="19" spans="1:9" ht="11.5" customHeight="1" x14ac:dyDescent="0.35">
      <c r="B19" s="60" t="s">
        <v>10</v>
      </c>
      <c r="C19" s="61"/>
      <c r="D19" s="61"/>
      <c r="E19" s="82"/>
      <c r="F19" s="82"/>
      <c r="G19" s="83"/>
      <c r="H19" s="81"/>
      <c r="I19" s="32"/>
    </row>
    <row r="20" spans="1:9" ht="45.5" customHeight="1" outlineLevel="1" x14ac:dyDescent="0.35">
      <c r="B20" s="64" t="s">
        <v>11</v>
      </c>
      <c r="C20" s="84"/>
      <c r="D20" s="84" t="s">
        <v>12</v>
      </c>
      <c r="E20" s="66">
        <v>265000</v>
      </c>
      <c r="F20" s="67">
        <v>244008</v>
      </c>
      <c r="G20" s="74">
        <f t="shared" ref="G20:G28" si="1">E20-F20</f>
        <v>20992</v>
      </c>
      <c r="H20" s="68" t="s">
        <v>83</v>
      </c>
      <c r="I20" s="55"/>
    </row>
    <row r="21" spans="1:9" ht="61" customHeight="1" outlineLevel="1" x14ac:dyDescent="0.35">
      <c r="B21" s="64" t="s">
        <v>64</v>
      </c>
      <c r="C21" s="65"/>
      <c r="D21" s="65" t="s">
        <v>14</v>
      </c>
      <c r="E21" s="66">
        <v>789000</v>
      </c>
      <c r="F21" s="67">
        <v>712860</v>
      </c>
      <c r="G21" s="74">
        <f t="shared" si="1"/>
        <v>76140</v>
      </c>
      <c r="H21" s="68" t="s">
        <v>68</v>
      </c>
      <c r="I21" s="58"/>
    </row>
    <row r="22" spans="1:9" ht="45.5" customHeight="1" outlineLevel="1" x14ac:dyDescent="0.35">
      <c r="B22" s="64" t="s">
        <v>15</v>
      </c>
      <c r="C22" s="65"/>
      <c r="D22" s="65" t="s">
        <v>16</v>
      </c>
      <c r="E22" s="66">
        <v>211320</v>
      </c>
      <c r="F22" s="67">
        <v>211320</v>
      </c>
      <c r="G22" s="67">
        <f t="shared" si="1"/>
        <v>0</v>
      </c>
      <c r="H22" s="68" t="s">
        <v>69</v>
      </c>
      <c r="I22" s="32"/>
    </row>
    <row r="23" spans="1:9" ht="18.5" customHeight="1" outlineLevel="1" x14ac:dyDescent="0.35">
      <c r="B23" s="64" t="s">
        <v>17</v>
      </c>
      <c r="C23" s="84"/>
      <c r="D23" s="84" t="s">
        <v>18</v>
      </c>
      <c r="E23" s="66">
        <v>386376</v>
      </c>
      <c r="F23" s="67">
        <v>381180</v>
      </c>
      <c r="G23" s="67">
        <f t="shared" si="1"/>
        <v>5196</v>
      </c>
      <c r="H23" s="68" t="s">
        <v>84</v>
      </c>
      <c r="I23" s="32"/>
    </row>
    <row r="24" spans="1:9" ht="43.5" customHeight="1" outlineLevel="1" x14ac:dyDescent="0.35">
      <c r="B24" s="64" t="s">
        <v>19</v>
      </c>
      <c r="C24" s="84"/>
      <c r="D24" s="84" t="s">
        <v>18</v>
      </c>
      <c r="E24" s="66">
        <v>256986</v>
      </c>
      <c r="F24" s="67">
        <v>251245</v>
      </c>
      <c r="G24" s="67">
        <f t="shared" si="1"/>
        <v>5741</v>
      </c>
      <c r="H24" s="104" t="s">
        <v>78</v>
      </c>
      <c r="I24" s="55"/>
    </row>
    <row r="25" spans="1:9" ht="31.25" customHeight="1" outlineLevel="1" x14ac:dyDescent="0.35">
      <c r="B25" s="64" t="s">
        <v>21</v>
      </c>
      <c r="C25" s="65"/>
      <c r="D25" s="65" t="s">
        <v>18</v>
      </c>
      <c r="E25" s="66">
        <v>68500</v>
      </c>
      <c r="F25" s="67">
        <v>62270</v>
      </c>
      <c r="G25" s="67">
        <f t="shared" si="1"/>
        <v>6230</v>
      </c>
      <c r="H25" s="68" t="s">
        <v>85</v>
      </c>
      <c r="I25" s="56"/>
    </row>
    <row r="26" spans="1:9" ht="46.5" customHeight="1" outlineLevel="1" x14ac:dyDescent="0.35">
      <c r="B26" s="64" t="s">
        <v>22</v>
      </c>
      <c r="C26" s="65"/>
      <c r="D26" s="65" t="s">
        <v>18</v>
      </c>
      <c r="E26" s="66">
        <v>65624</v>
      </c>
      <c r="F26" s="67">
        <v>54250</v>
      </c>
      <c r="G26" s="74">
        <f t="shared" si="1"/>
        <v>11374</v>
      </c>
      <c r="H26" s="68" t="s">
        <v>86</v>
      </c>
      <c r="I26" s="32"/>
    </row>
    <row r="27" spans="1:9" ht="35.25" customHeight="1" outlineLevel="1" x14ac:dyDescent="0.35">
      <c r="B27" s="64" t="s">
        <v>23</v>
      </c>
      <c r="C27" s="84"/>
      <c r="D27" s="84" t="s">
        <v>18</v>
      </c>
      <c r="E27" s="66">
        <v>80260</v>
      </c>
      <c r="F27" s="67">
        <v>83269</v>
      </c>
      <c r="G27" s="67">
        <f t="shared" si="1"/>
        <v>-3009</v>
      </c>
      <c r="H27" s="68" t="s">
        <v>87</v>
      </c>
      <c r="I27" s="32"/>
    </row>
    <row r="28" spans="1:9" ht="15" thickBot="1" x14ac:dyDescent="0.4">
      <c r="B28" s="75" t="s">
        <v>24</v>
      </c>
      <c r="C28" s="76"/>
      <c r="D28" s="76"/>
      <c r="E28" s="85">
        <f>SUM(E20:E27)</f>
        <v>2123066</v>
      </c>
      <c r="F28" s="85">
        <f>SUM(F20:F27)</f>
        <v>2000402</v>
      </c>
      <c r="G28" s="85">
        <f t="shared" si="1"/>
        <v>122664</v>
      </c>
      <c r="H28" s="86"/>
      <c r="I28" s="33"/>
    </row>
    <row r="29" spans="1:9" ht="15" thickTop="1" x14ac:dyDescent="0.35">
      <c r="B29" s="79"/>
      <c r="C29" s="61"/>
      <c r="D29" s="61"/>
      <c r="E29" s="80"/>
      <c r="F29" s="80"/>
      <c r="G29" s="80"/>
      <c r="H29" s="87"/>
      <c r="I29" s="33"/>
    </row>
    <row r="30" spans="1:9" ht="11" customHeight="1" x14ac:dyDescent="0.35">
      <c r="B30" s="60" t="s">
        <v>25</v>
      </c>
      <c r="C30" s="61"/>
      <c r="D30" s="61"/>
      <c r="E30" s="82"/>
      <c r="F30" s="82"/>
      <c r="G30" s="83"/>
      <c r="H30" s="81"/>
      <c r="I30" s="32"/>
    </row>
    <row r="31" spans="1:9" s="41" customFormat="1" ht="73" customHeight="1" outlineLevel="1" x14ac:dyDescent="0.35">
      <c r="A31"/>
      <c r="B31" s="64" t="s">
        <v>26</v>
      </c>
      <c r="C31" s="84"/>
      <c r="D31" s="84" t="s">
        <v>27</v>
      </c>
      <c r="E31" s="66">
        <v>195202</v>
      </c>
      <c r="F31" s="67">
        <v>196509</v>
      </c>
      <c r="G31" s="67">
        <f t="shared" ref="G31:G40" si="2">E31-F31</f>
        <v>-1307</v>
      </c>
      <c r="H31" s="71" t="s">
        <v>88</v>
      </c>
      <c r="I31" s="42"/>
    </row>
    <row r="32" spans="1:9" ht="49.5" customHeight="1" outlineLevel="1" x14ac:dyDescent="0.35">
      <c r="B32" s="64" t="s">
        <v>63</v>
      </c>
      <c r="C32" s="65"/>
      <c r="D32" s="65" t="s">
        <v>29</v>
      </c>
      <c r="E32" s="66">
        <v>167958</v>
      </c>
      <c r="F32" s="67">
        <v>136469</v>
      </c>
      <c r="G32" s="74">
        <f t="shared" si="2"/>
        <v>31489</v>
      </c>
      <c r="H32" s="71" t="s">
        <v>89</v>
      </c>
      <c r="I32" s="32"/>
    </row>
    <row r="33" spans="1:9" ht="58" customHeight="1" outlineLevel="1" x14ac:dyDescent="0.35">
      <c r="B33" s="64" t="s">
        <v>30</v>
      </c>
      <c r="C33" s="65"/>
      <c r="D33" s="65" t="s">
        <v>31</v>
      </c>
      <c r="E33" s="66">
        <v>169480</v>
      </c>
      <c r="F33" s="67">
        <v>158639</v>
      </c>
      <c r="G33" s="74">
        <f t="shared" si="2"/>
        <v>10841</v>
      </c>
      <c r="H33" s="71" t="s">
        <v>90</v>
      </c>
      <c r="I33" s="32"/>
    </row>
    <row r="34" spans="1:9" ht="25" customHeight="1" outlineLevel="1" x14ac:dyDescent="0.35">
      <c r="B34" s="64" t="s">
        <v>33</v>
      </c>
      <c r="C34" s="65"/>
      <c r="D34" s="65" t="s">
        <v>34</v>
      </c>
      <c r="E34" s="66">
        <v>56175</v>
      </c>
      <c r="F34" s="67">
        <v>53190</v>
      </c>
      <c r="G34" s="67">
        <f t="shared" si="2"/>
        <v>2985</v>
      </c>
      <c r="H34" s="71" t="s">
        <v>91</v>
      </c>
      <c r="I34" s="32"/>
    </row>
    <row r="35" spans="1:9" s="41" customFormat="1" ht="79.5" customHeight="1" outlineLevel="1" x14ac:dyDescent="0.35">
      <c r="A35"/>
      <c r="B35" s="64" t="s">
        <v>37</v>
      </c>
      <c r="C35" s="84"/>
      <c r="D35" s="84" t="s">
        <v>34</v>
      </c>
      <c r="E35" s="66">
        <v>26319</v>
      </c>
      <c r="F35" s="67">
        <v>22800</v>
      </c>
      <c r="G35" s="67">
        <f t="shared" si="2"/>
        <v>3519</v>
      </c>
      <c r="H35" s="71" t="s">
        <v>92</v>
      </c>
      <c r="I35" s="42"/>
    </row>
    <row r="36" spans="1:9" ht="39.5" customHeight="1" outlineLevel="1" x14ac:dyDescent="0.35">
      <c r="B36" s="64" t="s">
        <v>38</v>
      </c>
      <c r="C36" s="65"/>
      <c r="D36" s="65" t="s">
        <v>34</v>
      </c>
      <c r="E36" s="66">
        <v>7500</v>
      </c>
      <c r="F36" s="67">
        <v>7500</v>
      </c>
      <c r="G36" s="67">
        <f t="shared" si="2"/>
        <v>0</v>
      </c>
      <c r="H36" s="71" t="s">
        <v>70</v>
      </c>
      <c r="I36" s="32"/>
    </row>
    <row r="37" spans="1:9" ht="15" thickBot="1" x14ac:dyDescent="0.4">
      <c r="B37" s="75" t="s">
        <v>39</v>
      </c>
      <c r="C37" s="76"/>
      <c r="D37" s="76"/>
      <c r="E37" s="85">
        <f>SUM(E31:E36)</f>
        <v>622634</v>
      </c>
      <c r="F37" s="85">
        <f>SUM(F31:F36)</f>
        <v>575107</v>
      </c>
      <c r="G37" s="85">
        <f t="shared" si="2"/>
        <v>47527</v>
      </c>
      <c r="H37" s="78" t="s">
        <v>55</v>
      </c>
      <c r="I37" s="32"/>
    </row>
    <row r="38" spans="1:9" ht="19.5" customHeight="1" thickTop="1" thickBot="1" x14ac:dyDescent="0.4">
      <c r="B38" s="88" t="s">
        <v>76</v>
      </c>
      <c r="C38" s="89"/>
      <c r="D38" s="89"/>
      <c r="E38" s="77">
        <f>E28+E37</f>
        <v>2745700</v>
      </c>
      <c r="F38" s="77">
        <f>F28+F37</f>
        <v>2575509</v>
      </c>
      <c r="G38" s="77">
        <f t="shared" si="2"/>
        <v>170191</v>
      </c>
      <c r="H38" s="90"/>
      <c r="I38" s="33"/>
    </row>
    <row r="39" spans="1:9" ht="20.5" customHeight="1" thickTop="1" thickBot="1" x14ac:dyDescent="0.4">
      <c r="B39" s="91" t="s">
        <v>74</v>
      </c>
      <c r="C39" s="92"/>
      <c r="D39" s="92"/>
      <c r="E39" s="93">
        <f>E17</f>
        <v>2449852</v>
      </c>
      <c r="F39" s="93">
        <f>F17</f>
        <v>2575509</v>
      </c>
      <c r="G39" s="94">
        <f t="shared" si="2"/>
        <v>-125657</v>
      </c>
      <c r="H39" s="78"/>
      <c r="I39" s="32"/>
    </row>
    <row r="40" spans="1:9" ht="15" thickBot="1" x14ac:dyDescent="0.4">
      <c r="B40" s="95" t="s">
        <v>40</v>
      </c>
      <c r="C40" s="96"/>
      <c r="D40" s="96"/>
      <c r="E40" s="97">
        <f>E39-E38</f>
        <v>-295848</v>
      </c>
      <c r="F40" s="97">
        <f>F39-F38</f>
        <v>0</v>
      </c>
      <c r="G40" s="97">
        <f t="shared" si="2"/>
        <v>-295848</v>
      </c>
      <c r="H40" s="98" t="s">
        <v>79</v>
      </c>
    </row>
    <row r="41" spans="1:9" x14ac:dyDescent="0.35">
      <c r="B41" s="99"/>
      <c r="C41" s="100"/>
      <c r="D41" s="100"/>
      <c r="E41" s="101"/>
      <c r="G41" s="101"/>
      <c r="H41" s="1"/>
    </row>
    <row r="42" spans="1:9" x14ac:dyDescent="0.35">
      <c r="B42" s="99"/>
      <c r="C42" s="100"/>
      <c r="D42" s="100"/>
      <c r="E42" s="101"/>
      <c r="F42" s="57" t="s">
        <v>77</v>
      </c>
      <c r="G42" s="102"/>
      <c r="H42" s="103" t="s">
        <v>93</v>
      </c>
    </row>
    <row r="43" spans="1:9" x14ac:dyDescent="0.35">
      <c r="B43" s="34"/>
      <c r="C43" s="35"/>
      <c r="D43" s="35"/>
      <c r="E43" s="5"/>
      <c r="G43" s="5"/>
    </row>
    <row r="44" spans="1:9" x14ac:dyDescent="0.35">
      <c r="B44" s="34"/>
      <c r="C44" s="35"/>
      <c r="D44" s="35"/>
      <c r="E44" s="5"/>
      <c r="G44" s="5"/>
    </row>
    <row r="45" spans="1:9" x14ac:dyDescent="0.35">
      <c r="B45" s="34"/>
      <c r="C45" s="35"/>
      <c r="D45" s="35"/>
      <c r="E45" s="5"/>
      <c r="G45" s="59"/>
    </row>
    <row r="46" spans="1:9" x14ac:dyDescent="0.35">
      <c r="B46" s="34"/>
      <c r="C46" s="35"/>
      <c r="D46" s="35"/>
      <c r="E46" s="5"/>
      <c r="G46" s="5"/>
    </row>
    <row r="47" spans="1:9" x14ac:dyDescent="0.35">
      <c r="B47" s="34"/>
      <c r="C47" s="35"/>
      <c r="D47" s="35"/>
      <c r="E47" s="5"/>
      <c r="G47" s="5"/>
    </row>
    <row r="48" spans="1:9" x14ac:dyDescent="0.35">
      <c r="B48" s="34"/>
      <c r="C48" s="35"/>
      <c r="D48" s="35"/>
      <c r="E48" s="5"/>
      <c r="G48" s="5"/>
    </row>
    <row r="49" spans="2:7" x14ac:dyDescent="0.35">
      <c r="B49" s="34"/>
      <c r="C49" s="35"/>
      <c r="D49" s="35"/>
      <c r="E49" s="5"/>
      <c r="G49" s="5"/>
    </row>
    <row r="50" spans="2:7" x14ac:dyDescent="0.35">
      <c r="B50" s="34"/>
      <c r="C50" s="35"/>
      <c r="D50" s="35"/>
      <c r="E50" s="5"/>
      <c r="G50" s="5"/>
    </row>
    <row r="51" spans="2:7" x14ac:dyDescent="0.35">
      <c r="B51" s="34"/>
      <c r="C51" s="35"/>
      <c r="D51" s="35"/>
      <c r="E51" s="5"/>
      <c r="G51" s="5"/>
    </row>
    <row r="52" spans="2:7" x14ac:dyDescent="0.35">
      <c r="B52" s="34"/>
      <c r="C52" s="35"/>
      <c r="D52" s="35"/>
      <c r="E52" s="5"/>
      <c r="G52" s="5"/>
    </row>
    <row r="53" spans="2:7" x14ac:dyDescent="0.35">
      <c r="B53" s="34"/>
      <c r="C53" s="35"/>
      <c r="D53" s="35"/>
      <c r="E53" s="5"/>
      <c r="G53" s="5"/>
    </row>
    <row r="54" spans="2:7" x14ac:dyDescent="0.35">
      <c r="B54" s="34"/>
      <c r="C54" s="35"/>
      <c r="D54" s="35"/>
      <c r="E54" s="5"/>
      <c r="G54" s="5"/>
    </row>
    <row r="55" spans="2:7" x14ac:dyDescent="0.35">
      <c r="B55" s="34"/>
      <c r="C55" s="35"/>
      <c r="D55" s="35"/>
      <c r="E55" s="5"/>
      <c r="G55" s="5"/>
    </row>
    <row r="56" spans="2:7" x14ac:dyDescent="0.35">
      <c r="B56" s="34"/>
      <c r="C56" s="35"/>
      <c r="D56" s="35"/>
      <c r="E56" s="5"/>
      <c r="G56" s="5"/>
    </row>
    <row r="57" spans="2:7" x14ac:dyDescent="0.35">
      <c r="B57" s="34"/>
      <c r="C57" s="35"/>
      <c r="D57" s="35"/>
      <c r="E57" s="5"/>
      <c r="G57" s="5"/>
    </row>
    <row r="58" spans="2:7" x14ac:dyDescent="0.35">
      <c r="B58" s="34"/>
      <c r="C58" s="35"/>
      <c r="D58" s="35"/>
      <c r="E58" s="5"/>
      <c r="G58" s="5"/>
    </row>
    <row r="59" spans="2:7" x14ac:dyDescent="0.35">
      <c r="B59" s="34"/>
      <c r="C59" s="35"/>
      <c r="D59" s="35"/>
      <c r="E59" s="5"/>
      <c r="G59" s="5"/>
    </row>
    <row r="60" spans="2:7" x14ac:dyDescent="0.35">
      <c r="B60" s="34"/>
      <c r="C60" s="35"/>
      <c r="D60" s="35"/>
      <c r="E60" s="5"/>
      <c r="G60" s="5"/>
    </row>
    <row r="61" spans="2:7" x14ac:dyDescent="0.35">
      <c r="B61" s="34"/>
      <c r="C61" s="35"/>
      <c r="D61" s="35"/>
      <c r="E61" s="5"/>
      <c r="G61" s="5"/>
    </row>
    <row r="62" spans="2:7" x14ac:dyDescent="0.35">
      <c r="B62" s="34"/>
      <c r="C62" s="35"/>
      <c r="D62" s="35"/>
      <c r="E62" s="5"/>
      <c r="G62" s="5"/>
    </row>
    <row r="63" spans="2:7" x14ac:dyDescent="0.35">
      <c r="B63" s="34"/>
      <c r="C63" s="35"/>
      <c r="D63" s="35"/>
      <c r="E63" s="5"/>
      <c r="G63" s="5"/>
    </row>
    <row r="64" spans="2:7" x14ac:dyDescent="0.35">
      <c r="B64" s="34"/>
      <c r="C64" s="35"/>
      <c r="D64" s="35"/>
      <c r="E64" s="5"/>
      <c r="G64" s="5"/>
    </row>
    <row r="65" spans="2:7" x14ac:dyDescent="0.35">
      <c r="B65" s="34"/>
      <c r="C65" s="35"/>
      <c r="D65" s="35"/>
      <c r="E65" s="5"/>
      <c r="G65" s="5"/>
    </row>
    <row r="66" spans="2:7" x14ac:dyDescent="0.35">
      <c r="B66" s="34"/>
      <c r="C66" s="35"/>
      <c r="D66" s="35"/>
      <c r="E66" s="5"/>
      <c r="G66" s="5"/>
    </row>
    <row r="67" spans="2:7" x14ac:dyDescent="0.35">
      <c r="B67" s="34"/>
      <c r="C67" s="35"/>
      <c r="D67" s="35"/>
      <c r="E67" s="5"/>
      <c r="G67" s="5"/>
    </row>
    <row r="68" spans="2:7" x14ac:dyDescent="0.35">
      <c r="B68" s="34"/>
      <c r="C68" s="35"/>
      <c r="D68" s="35"/>
      <c r="E68" s="5"/>
      <c r="G68" s="5"/>
    </row>
    <row r="69" spans="2:7" x14ac:dyDescent="0.35">
      <c r="B69" s="34"/>
      <c r="C69" s="35"/>
      <c r="D69" s="35"/>
      <c r="E69" s="5"/>
      <c r="G69" s="5"/>
    </row>
    <row r="70" spans="2:7" x14ac:dyDescent="0.35">
      <c r="B70" s="34"/>
      <c r="C70" s="35"/>
      <c r="D70" s="35"/>
      <c r="E70" s="5"/>
      <c r="G70" s="5"/>
    </row>
    <row r="71" spans="2:7" x14ac:dyDescent="0.35">
      <c r="B71" s="34"/>
      <c r="C71" s="35"/>
      <c r="D71" s="35"/>
      <c r="E71" s="5"/>
      <c r="G71" s="5"/>
    </row>
    <row r="72" spans="2:7" x14ac:dyDescent="0.35">
      <c r="B72" s="34"/>
      <c r="C72" s="35"/>
      <c r="D72" s="35"/>
      <c r="E72" s="5"/>
      <c r="G72" s="5"/>
    </row>
    <row r="73" spans="2:7" x14ac:dyDescent="0.35">
      <c r="B73" s="34"/>
      <c r="C73" s="35"/>
      <c r="D73" s="35"/>
      <c r="E73" s="5"/>
      <c r="G73" s="5"/>
    </row>
    <row r="74" spans="2:7" x14ac:dyDescent="0.35">
      <c r="B74" s="34"/>
      <c r="C74" s="35"/>
      <c r="D74" s="35"/>
      <c r="E74" s="5"/>
      <c r="G74" s="5"/>
    </row>
    <row r="75" spans="2:7" x14ac:dyDescent="0.35">
      <c r="B75" s="34"/>
      <c r="C75" s="35"/>
      <c r="D75" s="35"/>
      <c r="E75" s="5"/>
      <c r="G75" s="5"/>
    </row>
    <row r="76" spans="2:7" x14ac:dyDescent="0.35">
      <c r="B76" s="34"/>
      <c r="C76" s="35"/>
      <c r="D76" s="35"/>
      <c r="E76" s="5"/>
      <c r="G76" s="5"/>
    </row>
    <row r="77" spans="2:7" ht="24" hidden="1" customHeight="1" x14ac:dyDescent="0.35">
      <c r="B77" s="34"/>
      <c r="C77" s="35"/>
      <c r="D77" s="35"/>
      <c r="E77" s="5"/>
      <c r="G77" s="5"/>
    </row>
    <row r="78" spans="2:7" hidden="1" x14ac:dyDescent="0.35">
      <c r="B78" s="34"/>
      <c r="C78" s="35"/>
      <c r="D78" s="35"/>
      <c r="E78" s="5"/>
      <c r="G78" s="5"/>
    </row>
    <row r="79" spans="2:7" hidden="1" x14ac:dyDescent="0.35">
      <c r="B79" s="34"/>
      <c r="C79" s="35"/>
      <c r="D79" s="35"/>
      <c r="E79" s="5"/>
      <c r="G79" s="5"/>
    </row>
    <row r="80" spans="2:7" hidden="1" x14ac:dyDescent="0.35">
      <c r="C80" s="6"/>
      <c r="D80" s="6"/>
      <c r="G80" s="5"/>
    </row>
    <row r="81" spans="2:7" hidden="1" x14ac:dyDescent="0.35">
      <c r="B81" s="7" t="s">
        <v>6</v>
      </c>
      <c r="C81" s="8"/>
      <c r="D81" s="8"/>
      <c r="E81" s="9">
        <f>IF(ISERR(F11/E$9)=TRUE,0,F11/E$9)</f>
        <v>190</v>
      </c>
      <c r="F81" s="9"/>
      <c r="G81" s="5"/>
    </row>
    <row r="82" spans="2:7" hidden="1" x14ac:dyDescent="0.35">
      <c r="B82" s="10" t="s">
        <v>41</v>
      </c>
      <c r="C82" s="3"/>
      <c r="D82" s="3"/>
      <c r="E82" s="11">
        <f>IF(ISERR(F12/E$9)=TRUE,0,F12/E$9)</f>
        <v>-42.051639856909958</v>
      </c>
      <c r="F82" s="11"/>
      <c r="G82" s="5"/>
    </row>
    <row r="83" spans="2:7" hidden="1" x14ac:dyDescent="0.35">
      <c r="B83" s="10" t="s">
        <v>42</v>
      </c>
      <c r="C83" s="3"/>
      <c r="D83" s="3"/>
      <c r="E83" s="11">
        <f>E84-E81-E82</f>
        <v>4.3111305631226458</v>
      </c>
      <c r="F83" s="11"/>
      <c r="G83" s="5"/>
    </row>
    <row r="84" spans="2:7" hidden="1" x14ac:dyDescent="0.35">
      <c r="B84" s="12" t="s">
        <v>9</v>
      </c>
      <c r="C84" s="13"/>
      <c r="D84" s="13"/>
      <c r="E84" s="14">
        <f>IF(ISERR(E17/E$9)=TRUE,0,E17/E$9)</f>
        <v>152.25949070621269</v>
      </c>
      <c r="F84" s="14"/>
      <c r="G84" s="5"/>
    </row>
    <row r="85" spans="2:7" ht="7.5" hidden="1" customHeight="1" x14ac:dyDescent="0.35">
      <c r="B85" s="15"/>
      <c r="C85" s="3"/>
      <c r="D85" s="3"/>
      <c r="E85" s="16"/>
      <c r="F85" s="16"/>
      <c r="G85" s="5"/>
    </row>
    <row r="86" spans="2:7" hidden="1" x14ac:dyDescent="0.35">
      <c r="B86" s="10" t="s">
        <v>11</v>
      </c>
      <c r="C86" s="3"/>
      <c r="D86" s="3"/>
      <c r="E86" s="11">
        <f>IF(ISERR(F20/E$9)=TRUE,0,F20/E$9)</f>
        <v>15.165215616388886</v>
      </c>
      <c r="F86" s="11"/>
      <c r="G86" s="5"/>
    </row>
    <row r="87" spans="2:7" hidden="1" x14ac:dyDescent="0.35">
      <c r="B87" s="10" t="s">
        <v>13</v>
      </c>
      <c r="C87" s="3"/>
      <c r="D87" s="3"/>
      <c r="E87" s="11">
        <f>IF(ISERR(F21/E$9)=TRUE,0,F21/E$9)</f>
        <v>44.304594948931928</v>
      </c>
      <c r="F87" s="11"/>
      <c r="G87" s="5"/>
    </row>
    <row r="88" spans="2:7" hidden="1" x14ac:dyDescent="0.35">
      <c r="B88" s="10" t="s">
        <v>15</v>
      </c>
      <c r="C88" s="3"/>
      <c r="D88" s="3"/>
      <c r="E88" s="11">
        <f>IF(ISERR(F22/E$9)=TRUE,0,F22/E$9)</f>
        <v>13.133640552995391</v>
      </c>
      <c r="F88" s="11"/>
      <c r="G88" s="5"/>
    </row>
    <row r="89" spans="2:7" hidden="1" x14ac:dyDescent="0.35">
      <c r="B89" s="10" t="s">
        <v>17</v>
      </c>
      <c r="C89" s="3"/>
      <c r="D89" s="3"/>
      <c r="E89" s="11">
        <f>IF(ISERR(F23/E$9)=TRUE,0,F23/E$9)</f>
        <v>23.690521985570619</v>
      </c>
      <c r="F89" s="11"/>
      <c r="G89" s="5"/>
    </row>
    <row r="90" spans="2:7" hidden="1" x14ac:dyDescent="0.35">
      <c r="B90" s="10" t="s">
        <v>19</v>
      </c>
      <c r="C90" s="3"/>
      <c r="D90" s="3"/>
      <c r="E90" s="11">
        <f>IF(ISERR(F24/E$9)=TRUE,0,F24/E$9)</f>
        <v>15.614998678484417</v>
      </c>
      <c r="F90" s="11"/>
      <c r="G90" s="5"/>
    </row>
    <row r="91" spans="2:7" hidden="1" x14ac:dyDescent="0.35">
      <c r="B91" s="10" t="s">
        <v>20</v>
      </c>
      <c r="C91" s="3"/>
      <c r="D91" s="3"/>
      <c r="E91" s="11">
        <f>IF(ISERR(#REF!/E$9)=TRUE,0,#REF!/E$9)</f>
        <v>0</v>
      </c>
      <c r="F91" s="11"/>
      <c r="G91" s="5"/>
    </row>
    <row r="92" spans="2:7" hidden="1" x14ac:dyDescent="0.35">
      <c r="B92" s="10" t="s">
        <v>21</v>
      </c>
      <c r="C92" s="3"/>
      <c r="D92" s="3"/>
      <c r="E92" s="11">
        <f>IF(ISERR(F25/E$9)=TRUE,0,F25/E$9)</f>
        <v>3.8701107194540176</v>
      </c>
      <c r="F92" s="11"/>
      <c r="G92" s="5"/>
    </row>
    <row r="93" spans="2:7" hidden="1" x14ac:dyDescent="0.35">
      <c r="B93" s="10" t="s">
        <v>22</v>
      </c>
      <c r="C93" s="3"/>
      <c r="D93" s="3"/>
      <c r="E93" s="11">
        <f>IF(ISERR(F26/E$9)=TRUE,0,F26/E$9)</f>
        <v>3.3716638273708122</v>
      </c>
      <c r="F93" s="11"/>
      <c r="G93" s="5"/>
    </row>
    <row r="94" spans="2:7" hidden="1" x14ac:dyDescent="0.35">
      <c r="B94" s="10" t="s">
        <v>23</v>
      </c>
      <c r="C94" s="3"/>
      <c r="D94" s="3"/>
      <c r="E94" s="11">
        <f>IF(ISERR(F27/E$9)=TRUE,0,F27/E$9)</f>
        <v>5.1752087602090349</v>
      </c>
      <c r="F94" s="11"/>
      <c r="G94" s="5"/>
    </row>
    <row r="95" spans="2:7" hidden="1" x14ac:dyDescent="0.35">
      <c r="B95" s="12" t="s">
        <v>43</v>
      </c>
      <c r="C95" s="13"/>
      <c r="D95" s="13"/>
      <c r="E95" s="14">
        <f>IF(ISERR(E28/E$9)=TRUE,0,E28/E$9)</f>
        <v>131.94958221789568</v>
      </c>
      <c r="F95" s="14"/>
      <c r="G95" s="5"/>
    </row>
    <row r="96" spans="2:7" ht="7.5" hidden="1" customHeight="1" x14ac:dyDescent="0.35">
      <c r="B96" s="15"/>
      <c r="C96" s="3"/>
      <c r="D96" s="3"/>
      <c r="E96" s="16"/>
      <c r="F96" s="16"/>
      <c r="G96" s="5"/>
    </row>
    <row r="97" spans="2:7" hidden="1" x14ac:dyDescent="0.35">
      <c r="B97" s="10" t="s">
        <v>26</v>
      </c>
      <c r="C97" s="3"/>
      <c r="D97" s="3"/>
      <c r="E97" s="11">
        <f>IF(ISERR(F31/E$9)=TRUE,0,F31/E$9)</f>
        <v>12.213129715259187</v>
      </c>
      <c r="F97" s="11"/>
      <c r="G97" s="5"/>
    </row>
    <row r="98" spans="2:7" hidden="1" x14ac:dyDescent="0.35">
      <c r="B98" s="10" t="s">
        <v>28</v>
      </c>
      <c r="C98" s="3"/>
      <c r="D98" s="3"/>
      <c r="E98" s="11">
        <f>IF(ISERR(F32/E$9)=TRUE,0,F32/E$9)</f>
        <v>8.4816145780178314</v>
      </c>
      <c r="F98" s="11"/>
      <c r="G98" s="5"/>
    </row>
    <row r="99" spans="2:7" hidden="1" x14ac:dyDescent="0.35">
      <c r="B99" s="10" t="s">
        <v>30</v>
      </c>
      <c r="C99" s="3"/>
      <c r="D99" s="3"/>
      <c r="E99" s="11">
        <f>IF(ISERR(F33/E$9)=TRUE,0,F33/E$9)</f>
        <v>9.8594908370558194</v>
      </c>
      <c r="F99" s="11"/>
      <c r="G99" s="5"/>
    </row>
    <row r="100" spans="2:7" hidden="1" x14ac:dyDescent="0.35">
      <c r="B100" s="10" t="s">
        <v>32</v>
      </c>
      <c r="C100" s="3"/>
      <c r="D100" s="3"/>
      <c r="E100" s="11">
        <f>IF(ISERR(#REF!/E$9)=TRUE,0,#REF!/E$9)</f>
        <v>0</v>
      </c>
      <c r="F100" s="11"/>
      <c r="G100" s="5"/>
    </row>
    <row r="101" spans="2:7" hidden="1" x14ac:dyDescent="0.35">
      <c r="B101" s="10" t="s">
        <v>33</v>
      </c>
      <c r="C101" s="3"/>
      <c r="D101" s="3"/>
      <c r="E101" s="11">
        <f>IF(ISERR(F34/E$9)=TRUE,0,F34/E$9)</f>
        <v>3.3057843129558249</v>
      </c>
      <c r="F101" s="11"/>
      <c r="G101" s="5"/>
    </row>
    <row r="102" spans="2:7" hidden="1" x14ac:dyDescent="0.35">
      <c r="B102" s="10" t="s">
        <v>35</v>
      </c>
      <c r="C102" s="3"/>
      <c r="D102" s="3"/>
      <c r="E102" s="11">
        <f>IF(ISERR(#REF!/E$9)=TRUE,0,#REF!/E$9)</f>
        <v>0</v>
      </c>
      <c r="F102" s="11"/>
      <c r="G102" s="5"/>
    </row>
    <row r="103" spans="2:7" hidden="1" x14ac:dyDescent="0.35">
      <c r="B103" s="10" t="s">
        <v>36</v>
      </c>
      <c r="C103" s="3"/>
      <c r="D103" s="3"/>
      <c r="E103" s="11">
        <f>IF(ISERR(#REF!/E$9)=TRUE,0,#REF!/E$9)</f>
        <v>0</v>
      </c>
      <c r="F103" s="11"/>
      <c r="G103" s="5"/>
    </row>
    <row r="104" spans="2:7" hidden="1" x14ac:dyDescent="0.35">
      <c r="B104" s="10" t="s">
        <v>44</v>
      </c>
      <c r="C104" s="3"/>
      <c r="D104" s="3"/>
      <c r="E104" s="11">
        <f>IF(ISERR(F35/E$9)=TRUE,0,F35/E$9)</f>
        <v>1.4170310647751985</v>
      </c>
      <c r="F104" s="11"/>
      <c r="G104" s="5"/>
    </row>
    <row r="105" spans="2:7" hidden="1" x14ac:dyDescent="0.35">
      <c r="B105" s="10" t="s">
        <v>38</v>
      </c>
      <c r="C105" s="3"/>
      <c r="D105" s="3"/>
      <c r="E105" s="11">
        <f>IF(ISERR(F36/E$9)=TRUE,0,F36/E$9)</f>
        <v>0.46612863972868368</v>
      </c>
      <c r="F105" s="11"/>
      <c r="G105" s="5"/>
    </row>
    <row r="106" spans="2:7" hidden="1" x14ac:dyDescent="0.35">
      <c r="B106" s="12" t="s">
        <v>45</v>
      </c>
      <c r="C106" s="13"/>
      <c r="D106" s="13"/>
      <c r="E106" s="14">
        <f>IF(ISERR(E37/E$9)=TRUE,0,E37/E$9)</f>
        <v>38.697005262510565</v>
      </c>
      <c r="F106" s="14"/>
      <c r="G106" s="5"/>
    </row>
    <row r="107" spans="2:7" ht="7.5" hidden="1" customHeight="1" x14ac:dyDescent="0.35">
      <c r="B107" s="15"/>
      <c r="C107" s="3"/>
      <c r="D107" s="3"/>
      <c r="E107" s="16"/>
      <c r="F107" s="16"/>
      <c r="G107" s="5"/>
    </row>
    <row r="108" spans="2:7" hidden="1" x14ac:dyDescent="0.35">
      <c r="B108" s="12" t="s">
        <v>40</v>
      </c>
      <c r="C108" s="13"/>
      <c r="D108" s="13"/>
      <c r="E108" s="14">
        <f>E84-E95-E106</f>
        <v>-18.387096774193559</v>
      </c>
      <c r="F108" s="14"/>
      <c r="G108" s="5"/>
    </row>
    <row r="109" spans="2:7" hidden="1" x14ac:dyDescent="0.35">
      <c r="B109" s="15"/>
      <c r="C109" s="3"/>
      <c r="D109" s="3"/>
      <c r="E109" s="16"/>
      <c r="F109" s="16"/>
      <c r="G109" s="5"/>
    </row>
    <row r="110" spans="2:7" hidden="1" x14ac:dyDescent="0.35">
      <c r="B110" s="17" t="s">
        <v>46</v>
      </c>
      <c r="C110" s="18"/>
      <c r="D110" s="18"/>
      <c r="E110" s="19"/>
      <c r="F110" s="19"/>
      <c r="G110" s="5"/>
    </row>
    <row r="111" spans="2:7" hidden="1" x14ac:dyDescent="0.35">
      <c r="B111" s="10" t="s">
        <v>11</v>
      </c>
      <c r="C111" s="3"/>
      <c r="D111" s="3"/>
      <c r="E111" s="20">
        <f t="shared" ref="E111:E120" si="3">IF(ISERR(E86/E$84)=TRUE,0,E86/E$84)</f>
        <v>9.9601118761459884E-2</v>
      </c>
      <c r="F111" s="20"/>
      <c r="G111" s="5"/>
    </row>
    <row r="112" spans="2:7" hidden="1" x14ac:dyDescent="0.35">
      <c r="B112" s="10" t="s">
        <v>13</v>
      </c>
      <c r="C112" s="3"/>
      <c r="D112" s="3"/>
      <c r="E112" s="20">
        <f t="shared" si="3"/>
        <v>0.29098084292438892</v>
      </c>
      <c r="F112" s="20"/>
      <c r="G112" s="5"/>
    </row>
    <row r="113" spans="2:7" hidden="1" x14ac:dyDescent="0.35">
      <c r="B113" s="10" t="s">
        <v>15</v>
      </c>
      <c r="C113" s="3"/>
      <c r="D113" s="3"/>
      <c r="E113" s="20">
        <f t="shared" si="3"/>
        <v>8.6258271928263422E-2</v>
      </c>
      <c r="F113" s="20"/>
      <c r="G113" s="5"/>
    </row>
    <row r="114" spans="2:7" hidden="1" x14ac:dyDescent="0.35">
      <c r="B114" s="10" t="s">
        <v>17</v>
      </c>
      <c r="C114" s="3"/>
      <c r="D114" s="3"/>
      <c r="E114" s="20">
        <f t="shared" si="3"/>
        <v>0.15559307256111798</v>
      </c>
      <c r="F114" s="20"/>
      <c r="G114" s="5"/>
    </row>
    <row r="115" spans="2:7" hidden="1" x14ac:dyDescent="0.35">
      <c r="B115" s="10" t="s">
        <v>19</v>
      </c>
      <c r="C115" s="3"/>
      <c r="D115" s="3"/>
      <c r="E115" s="20">
        <f t="shared" si="3"/>
        <v>0.10255517476157744</v>
      </c>
      <c r="F115" s="20"/>
      <c r="G115" s="5"/>
    </row>
    <row r="116" spans="2:7" hidden="1" x14ac:dyDescent="0.35">
      <c r="B116" s="10" t="s">
        <v>20</v>
      </c>
      <c r="C116" s="3"/>
      <c r="D116" s="3"/>
      <c r="E116" s="20">
        <f t="shared" si="3"/>
        <v>0</v>
      </c>
      <c r="F116" s="20"/>
      <c r="G116" s="5"/>
    </row>
    <row r="117" spans="2:7" hidden="1" x14ac:dyDescent="0.35">
      <c r="B117" s="10" t="s">
        <v>21</v>
      </c>
      <c r="C117" s="3"/>
      <c r="D117" s="3"/>
      <c r="E117" s="20">
        <f t="shared" si="3"/>
        <v>2.5417861976968405E-2</v>
      </c>
      <c r="F117" s="20"/>
      <c r="G117" s="5"/>
    </row>
    <row r="118" spans="2:7" hidden="1" x14ac:dyDescent="0.35">
      <c r="B118" s="10" t="s">
        <v>22</v>
      </c>
      <c r="C118" s="3"/>
      <c r="D118" s="3"/>
      <c r="E118" s="20">
        <f t="shared" si="3"/>
        <v>2.2144194832993996E-2</v>
      </c>
      <c r="F118" s="20"/>
      <c r="G118" s="5"/>
    </row>
    <row r="119" spans="2:7" hidden="1" x14ac:dyDescent="0.35">
      <c r="B119" s="10" t="s">
        <v>23</v>
      </c>
      <c r="C119" s="3"/>
      <c r="D119" s="3"/>
      <c r="E119" s="20">
        <f t="shared" si="3"/>
        <v>3.3989400176010633E-2</v>
      </c>
      <c r="F119" s="20"/>
      <c r="G119" s="5"/>
    </row>
    <row r="120" spans="2:7" hidden="1" x14ac:dyDescent="0.35">
      <c r="B120" s="12" t="s">
        <v>43</v>
      </c>
      <c r="C120" s="13"/>
      <c r="D120" s="13"/>
      <c r="E120" s="21">
        <f t="shared" si="3"/>
        <v>0.86660990133281524</v>
      </c>
      <c r="F120" s="21"/>
      <c r="G120" s="5"/>
    </row>
    <row r="121" spans="2:7" ht="6.75" hidden="1" customHeight="1" x14ac:dyDescent="0.35">
      <c r="B121" s="10"/>
      <c r="C121" s="3"/>
      <c r="D121" s="3"/>
      <c r="E121" s="20"/>
      <c r="F121" s="20"/>
      <c r="G121" s="5"/>
    </row>
    <row r="122" spans="2:7" hidden="1" x14ac:dyDescent="0.35">
      <c r="B122" s="10" t="s">
        <v>26</v>
      </c>
      <c r="C122" s="3"/>
      <c r="D122" s="3"/>
      <c r="E122" s="20">
        <f t="shared" ref="E122:E131" si="4">IF(ISERR(E97/E$84)=TRUE,0,E97/E$84)</f>
        <v>8.0212600597913672E-2</v>
      </c>
      <c r="F122" s="20"/>
      <c r="G122" s="5"/>
    </row>
    <row r="123" spans="2:7" hidden="1" x14ac:dyDescent="0.35">
      <c r="B123" s="10" t="s">
        <v>28</v>
      </c>
      <c r="C123" s="3"/>
      <c r="D123" s="3"/>
      <c r="E123" s="20">
        <f t="shared" si="4"/>
        <v>5.5704997689656359E-2</v>
      </c>
      <c r="F123" s="20"/>
      <c r="G123" s="5"/>
    </row>
    <row r="124" spans="2:7" hidden="1" x14ac:dyDescent="0.35">
      <c r="B124" s="10" t="s">
        <v>30</v>
      </c>
      <c r="C124" s="3"/>
      <c r="D124" s="3"/>
      <c r="E124" s="20">
        <f t="shared" si="4"/>
        <v>6.4754523946752698E-2</v>
      </c>
      <c r="F124" s="20"/>
      <c r="G124" s="5"/>
    </row>
    <row r="125" spans="2:7" hidden="1" x14ac:dyDescent="0.35">
      <c r="B125" s="10" t="s">
        <v>32</v>
      </c>
      <c r="C125" s="3"/>
      <c r="D125" s="3"/>
      <c r="E125" s="20">
        <f t="shared" si="4"/>
        <v>0</v>
      </c>
      <c r="F125" s="20"/>
      <c r="G125" s="5"/>
    </row>
    <row r="126" spans="2:7" hidden="1" x14ac:dyDescent="0.35">
      <c r="B126" s="10" t="s">
        <v>33</v>
      </c>
      <c r="C126" s="3"/>
      <c r="D126" s="3"/>
      <c r="E126" s="20">
        <f t="shared" si="4"/>
        <v>2.1711515634413835E-2</v>
      </c>
      <c r="F126" s="20"/>
      <c r="G126" s="5"/>
    </row>
    <row r="127" spans="2:7" hidden="1" x14ac:dyDescent="0.35">
      <c r="B127" s="10" t="s">
        <v>35</v>
      </c>
      <c r="C127" s="3"/>
      <c r="D127" s="3"/>
      <c r="E127" s="20">
        <f t="shared" si="4"/>
        <v>0</v>
      </c>
      <c r="F127" s="20"/>
      <c r="G127" s="5"/>
    </row>
    <row r="128" spans="2:7" hidden="1" x14ac:dyDescent="0.35">
      <c r="B128" s="10" t="s">
        <v>36</v>
      </c>
      <c r="C128" s="3"/>
      <c r="D128" s="3"/>
      <c r="E128" s="20">
        <f t="shared" si="4"/>
        <v>0</v>
      </c>
      <c r="F128" s="20"/>
      <c r="G128" s="5"/>
    </row>
    <row r="129" spans="2:7" hidden="1" x14ac:dyDescent="0.35">
      <c r="B129" s="10" t="s">
        <v>44</v>
      </c>
      <c r="C129" s="3"/>
      <c r="D129" s="3"/>
      <c r="E129" s="20">
        <f t="shared" si="4"/>
        <v>9.3066846487053108E-3</v>
      </c>
      <c r="F129" s="20"/>
      <c r="G129" s="5"/>
    </row>
    <row r="130" spans="2:7" hidden="1" x14ac:dyDescent="0.35">
      <c r="B130" s="10" t="s">
        <v>38</v>
      </c>
      <c r="C130" s="3"/>
      <c r="D130" s="3"/>
      <c r="E130" s="20">
        <f t="shared" si="4"/>
        <v>3.0614094239162204E-3</v>
      </c>
      <c r="F130" s="20"/>
      <c r="G130" s="5"/>
    </row>
    <row r="131" spans="2:7" hidden="1" x14ac:dyDescent="0.35">
      <c r="B131" s="12" t="s">
        <v>45</v>
      </c>
      <c r="C131" s="13"/>
      <c r="D131" s="13"/>
      <c r="E131" s="21">
        <f t="shared" si="4"/>
        <v>0.25415167936675359</v>
      </c>
      <c r="F131" s="21"/>
      <c r="G131" s="5"/>
    </row>
    <row r="132" spans="2:7" ht="6.75" hidden="1" customHeight="1" x14ac:dyDescent="0.35">
      <c r="B132" s="10"/>
      <c r="C132" s="3"/>
      <c r="D132" s="3"/>
      <c r="E132" s="20"/>
      <c r="F132" s="20"/>
      <c r="G132" s="5"/>
    </row>
    <row r="133" spans="2:7" hidden="1" x14ac:dyDescent="0.35">
      <c r="B133" s="12" t="s">
        <v>40</v>
      </c>
      <c r="C133" s="13"/>
      <c r="D133" s="13"/>
      <c r="E133" s="21">
        <f>IF(ISERR(E108/E$84)=TRUE,0,E108/E$84)</f>
        <v>-0.12076158069956887</v>
      </c>
      <c r="F133" s="21"/>
      <c r="G133" s="5"/>
    </row>
    <row r="134" spans="2:7" hidden="1" x14ac:dyDescent="0.35">
      <c r="G134" s="5"/>
    </row>
    <row r="135" spans="2:7" hidden="1" x14ac:dyDescent="0.35"/>
    <row r="136" spans="2:7" hidden="1" x14ac:dyDescent="0.35"/>
    <row r="137" spans="2:7" hidden="1" x14ac:dyDescent="0.35"/>
    <row r="138" spans="2:7" hidden="1" x14ac:dyDescent="0.35"/>
  </sheetData>
  <mergeCells count="1">
    <mergeCell ref="B3:H3"/>
  </mergeCells>
  <dataValidations disablePrompts="1" count="1">
    <dataValidation type="list" allowBlank="1" showInputMessage="1" showErrorMessage="1" sqref="B5" xr:uid="{00000000-0002-0000-0000-000000000000}">
      <formula1>HealthPlan</formula1>
    </dataValidation>
  </dataValidations>
  <printOptions horizontalCentered="1"/>
  <pageMargins left="0.25" right="0.25" top="0.3" bottom="0.6" header="0.3" footer="0.3"/>
  <pageSetup scale="63" orientation="portrait" r:id="rId1"/>
  <headerFooter>
    <oddFooter>&amp;L&amp;D&amp;CDRAFT:Proposed 2025 Budget Recommendation&amp;R&amp;P</oddFooter>
  </headerFooter>
  <rowBreaks count="2" manualBreakCount="2">
    <brk id="40" max="8" man="1"/>
    <brk id="7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R5:T58"/>
  <sheetViews>
    <sheetView topLeftCell="A3" zoomScale="110" zoomScaleNormal="110" workbookViewId="0">
      <selection activeCell="D37" sqref="D37"/>
    </sheetView>
  </sheetViews>
  <sheetFormatPr defaultColWidth="8.81640625" defaultRowHeight="14.5" x14ac:dyDescent="0.35"/>
  <cols>
    <col min="18" max="18" width="26.1796875" bestFit="1" customWidth="1"/>
    <col min="19" max="19" width="15.1796875" customWidth="1"/>
  </cols>
  <sheetData>
    <row r="5" spans="18:20" ht="29" x14ac:dyDescent="0.35">
      <c r="S5" s="22" t="s">
        <v>47</v>
      </c>
    </row>
    <row r="6" spans="18:20" x14ac:dyDescent="0.35">
      <c r="R6" t="s">
        <v>48</v>
      </c>
      <c r="S6" s="23">
        <v>2390310</v>
      </c>
    </row>
    <row r="7" spans="18:20" x14ac:dyDescent="0.35">
      <c r="R7" t="s">
        <v>49</v>
      </c>
      <c r="S7" s="23">
        <v>-242460</v>
      </c>
    </row>
    <row r="8" spans="18:20" x14ac:dyDescent="0.35">
      <c r="R8" t="s">
        <v>50</v>
      </c>
      <c r="S8" s="23">
        <f>S9-SUM(S6:S7)</f>
        <v>302002</v>
      </c>
    </row>
    <row r="9" spans="18:20" x14ac:dyDescent="0.35">
      <c r="R9" t="s">
        <v>51</v>
      </c>
      <c r="S9" s="23">
        <f>'2025 Budget'!E17</f>
        <v>2449852</v>
      </c>
    </row>
    <row r="10" spans="18:20" x14ac:dyDescent="0.35">
      <c r="S10" s="24"/>
    </row>
    <row r="11" spans="18:20" x14ac:dyDescent="0.35">
      <c r="S11" s="25"/>
    </row>
    <row r="12" spans="18:20" x14ac:dyDescent="0.35">
      <c r="R12" s="26" t="s">
        <v>11</v>
      </c>
      <c r="S12" s="27">
        <v>232140</v>
      </c>
      <c r="T12" s="31" t="e">
        <f>+(S12+S13+S14+S15)/S31</f>
        <v>#REF!</v>
      </c>
    </row>
    <row r="13" spans="18:20" x14ac:dyDescent="0.35">
      <c r="R13" s="26" t="s">
        <v>13</v>
      </c>
      <c r="S13" s="27">
        <v>426240</v>
      </c>
    </row>
    <row r="14" spans="18:20" x14ac:dyDescent="0.35">
      <c r="R14" s="26" t="s">
        <v>57</v>
      </c>
      <c r="S14" s="27">
        <v>341837</v>
      </c>
    </row>
    <row r="15" spans="18:20" x14ac:dyDescent="0.35">
      <c r="R15" s="26" t="s">
        <v>15</v>
      </c>
      <c r="S15" s="27">
        <v>183870</v>
      </c>
    </row>
    <row r="16" spans="18:20" x14ac:dyDescent="0.35">
      <c r="R16" s="26" t="s">
        <v>19</v>
      </c>
      <c r="S16" s="27">
        <v>226800</v>
      </c>
    </row>
    <row r="17" spans="18:19" x14ac:dyDescent="0.35">
      <c r="R17" s="26" t="s">
        <v>20</v>
      </c>
      <c r="S17" s="27">
        <v>75193</v>
      </c>
    </row>
    <row r="18" spans="18:19" x14ac:dyDescent="0.35">
      <c r="R18" s="26" t="s">
        <v>21</v>
      </c>
      <c r="S18" s="27">
        <v>38000</v>
      </c>
    </row>
    <row r="19" spans="18:19" x14ac:dyDescent="0.35">
      <c r="R19" s="26" t="s">
        <v>22</v>
      </c>
      <c r="S19" s="27">
        <v>42000</v>
      </c>
    </row>
    <row r="20" spans="18:19" x14ac:dyDescent="0.35">
      <c r="R20" s="26" t="s">
        <v>23</v>
      </c>
      <c r="S20" s="27">
        <v>122410</v>
      </c>
    </row>
    <row r="21" spans="18:19" x14ac:dyDescent="0.35">
      <c r="R21" t="s">
        <v>52</v>
      </c>
      <c r="S21" s="23">
        <f>SUM(S12:S20)</f>
        <v>1688490</v>
      </c>
    </row>
    <row r="22" spans="18:19" x14ac:dyDescent="0.35">
      <c r="R22" s="28" t="s">
        <v>26</v>
      </c>
      <c r="S22" s="29">
        <v>204732</v>
      </c>
    </row>
    <row r="23" spans="18:19" x14ac:dyDescent="0.35">
      <c r="R23" s="28" t="s">
        <v>36</v>
      </c>
      <c r="S23" s="29" t="e">
        <f>'2025 Budget'!#REF!</f>
        <v>#REF!</v>
      </c>
    </row>
    <row r="24" spans="18:19" x14ac:dyDescent="0.35">
      <c r="R24" s="28" t="s">
        <v>58</v>
      </c>
      <c r="S24" s="29">
        <v>94000</v>
      </c>
    </row>
    <row r="25" spans="18:19" x14ac:dyDescent="0.35">
      <c r="R25" s="28" t="s">
        <v>30</v>
      </c>
      <c r="S25" s="29">
        <v>53090</v>
      </c>
    </row>
    <row r="26" spans="18:19" x14ac:dyDescent="0.35">
      <c r="R26" s="28" t="s">
        <v>33</v>
      </c>
      <c r="S26" s="29">
        <v>110800</v>
      </c>
    </row>
    <row r="27" spans="18:19" x14ac:dyDescent="0.35">
      <c r="R27" s="28" t="s">
        <v>56</v>
      </c>
      <c r="S27" s="29">
        <v>60480</v>
      </c>
    </row>
    <row r="28" spans="18:19" x14ac:dyDescent="0.35">
      <c r="R28" s="28" t="s">
        <v>37</v>
      </c>
      <c r="S28" s="29">
        <v>13250</v>
      </c>
    </row>
    <row r="29" spans="18:19" x14ac:dyDescent="0.35">
      <c r="R29" s="28" t="s">
        <v>38</v>
      </c>
      <c r="S29" s="29">
        <v>15000</v>
      </c>
    </row>
    <row r="30" spans="18:19" x14ac:dyDescent="0.35">
      <c r="R30" t="s">
        <v>53</v>
      </c>
      <c r="S30" s="23" t="e">
        <f>SUM(S22:S29)</f>
        <v>#REF!</v>
      </c>
    </row>
    <row r="31" spans="18:19" x14ac:dyDescent="0.35">
      <c r="R31" t="s">
        <v>54</v>
      </c>
      <c r="S31" s="23" t="e">
        <f>S21+S30</f>
        <v>#REF!</v>
      </c>
    </row>
    <row r="32" spans="18:19" x14ac:dyDescent="0.35">
      <c r="S32" s="24"/>
    </row>
    <row r="33" spans="18:19" x14ac:dyDescent="0.35">
      <c r="R33" t="s">
        <v>13</v>
      </c>
      <c r="S33" s="23">
        <f t="shared" ref="S33:S48" si="0">SUMIF($R$12:$R$31,$R33,S$12:S$31)</f>
        <v>426240</v>
      </c>
    </row>
    <row r="34" spans="18:19" x14ac:dyDescent="0.35">
      <c r="R34" t="s">
        <v>57</v>
      </c>
      <c r="S34" s="23">
        <f t="shared" si="0"/>
        <v>341837</v>
      </c>
    </row>
    <row r="35" spans="18:19" x14ac:dyDescent="0.35">
      <c r="R35" t="s">
        <v>11</v>
      </c>
      <c r="S35" s="23">
        <f t="shared" si="0"/>
        <v>232140</v>
      </c>
    </row>
    <row r="36" spans="18:19" x14ac:dyDescent="0.35">
      <c r="R36" t="s">
        <v>15</v>
      </c>
      <c r="S36" s="23">
        <f t="shared" si="0"/>
        <v>183870</v>
      </c>
    </row>
    <row r="37" spans="18:19" x14ac:dyDescent="0.35">
      <c r="R37" t="s">
        <v>19</v>
      </c>
      <c r="S37" s="23">
        <f t="shared" si="0"/>
        <v>226800</v>
      </c>
    </row>
    <row r="38" spans="18:19" x14ac:dyDescent="0.35">
      <c r="R38" t="s">
        <v>26</v>
      </c>
      <c r="S38" s="23">
        <f t="shared" si="0"/>
        <v>204732</v>
      </c>
    </row>
    <row r="39" spans="18:19" x14ac:dyDescent="0.35">
      <c r="R39" t="s">
        <v>23</v>
      </c>
      <c r="S39" s="23">
        <f t="shared" si="0"/>
        <v>122410</v>
      </c>
    </row>
    <row r="40" spans="18:19" x14ac:dyDescent="0.35">
      <c r="R40" t="s">
        <v>30</v>
      </c>
      <c r="S40" s="23">
        <f t="shared" si="0"/>
        <v>53090</v>
      </c>
    </row>
    <row r="41" spans="18:19" x14ac:dyDescent="0.35">
      <c r="R41" t="s">
        <v>58</v>
      </c>
      <c r="S41" s="23">
        <f t="shared" si="0"/>
        <v>94000</v>
      </c>
    </row>
    <row r="42" spans="18:19" x14ac:dyDescent="0.35">
      <c r="R42" t="s">
        <v>20</v>
      </c>
      <c r="S42" s="23">
        <f t="shared" si="0"/>
        <v>75193</v>
      </c>
    </row>
    <row r="43" spans="18:19" x14ac:dyDescent="0.35">
      <c r="R43" t="s">
        <v>22</v>
      </c>
      <c r="S43" s="23">
        <f t="shared" si="0"/>
        <v>42000</v>
      </c>
    </row>
    <row r="44" spans="18:19" x14ac:dyDescent="0.35">
      <c r="R44" t="s">
        <v>21</v>
      </c>
      <c r="S44" s="23">
        <f t="shared" si="0"/>
        <v>38000</v>
      </c>
    </row>
    <row r="45" spans="18:19" x14ac:dyDescent="0.35">
      <c r="R45" t="s">
        <v>33</v>
      </c>
      <c r="S45" s="23">
        <f t="shared" si="0"/>
        <v>110800</v>
      </c>
    </row>
    <row r="46" spans="18:19" x14ac:dyDescent="0.35">
      <c r="R46" t="s">
        <v>37</v>
      </c>
      <c r="S46" s="23">
        <f t="shared" si="0"/>
        <v>13250</v>
      </c>
    </row>
    <row r="47" spans="18:19" x14ac:dyDescent="0.35">
      <c r="R47" t="s">
        <v>56</v>
      </c>
      <c r="S47" s="23">
        <f t="shared" si="0"/>
        <v>60480</v>
      </c>
    </row>
    <row r="48" spans="18:19" x14ac:dyDescent="0.35">
      <c r="R48" t="s">
        <v>38</v>
      </c>
      <c r="S48" s="23">
        <f t="shared" si="0"/>
        <v>15000</v>
      </c>
    </row>
    <row r="50" spans="18:19" x14ac:dyDescent="0.35">
      <c r="R50" t="s">
        <v>60</v>
      </c>
      <c r="S50" s="31" t="e">
        <f>+S21/S31</f>
        <v>#REF!</v>
      </c>
    </row>
    <row r="51" spans="18:19" x14ac:dyDescent="0.35">
      <c r="R51" t="s">
        <v>59</v>
      </c>
      <c r="S51" s="24">
        <f>+SUM(S12:S15)</f>
        <v>1184087</v>
      </c>
    </row>
    <row r="52" spans="18:19" x14ac:dyDescent="0.35">
      <c r="R52" t="s">
        <v>61</v>
      </c>
      <c r="S52" s="30" t="e">
        <f>SUM(S33:S36)/S31</f>
        <v>#REF!</v>
      </c>
    </row>
    <row r="53" spans="18:19" x14ac:dyDescent="0.35">
      <c r="R53" t="s">
        <v>62</v>
      </c>
      <c r="S53" s="24" t="e">
        <f>+S31-S21-S22</f>
        <v>#REF!</v>
      </c>
    </row>
    <row r="54" spans="18:19" x14ac:dyDescent="0.35">
      <c r="S54" s="30" t="e">
        <f>SUM(S16:S20)/S31</f>
        <v>#REF!</v>
      </c>
    </row>
    <row r="55" spans="18:19" x14ac:dyDescent="0.35">
      <c r="S55" s="30" t="e">
        <f>SUM(S22:S29)/S31</f>
        <v>#REF!</v>
      </c>
    </row>
    <row r="56" spans="18:19" x14ac:dyDescent="0.35">
      <c r="S56" s="31" t="e">
        <f>S22/S31</f>
        <v>#REF!</v>
      </c>
    </row>
    <row r="57" spans="18:19" x14ac:dyDescent="0.35">
      <c r="S57" s="31" t="e">
        <f>S23/S31</f>
        <v>#REF!</v>
      </c>
    </row>
    <row r="58" spans="18:19" x14ac:dyDescent="0.35">
      <c r="S58" s="31" t="e">
        <f>SUM(S24:S29)/S31</f>
        <v>#REF!</v>
      </c>
    </row>
  </sheetData>
  <pageMargins left="0.7" right="0.7" top="0.75" bottom="0.75" header="0.3" footer="0.3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BF1F4AA-7111-4323-BEF4-94616B12266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Budget</vt:lpstr>
      <vt:lpstr>Charts</vt:lpstr>
      <vt:lpstr>'2025 Budget'!Print_Area</vt:lpstr>
      <vt:lpstr>Charts!Print_Area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Drake</dc:creator>
  <cp:lastModifiedBy>Marisa Reid</cp:lastModifiedBy>
  <cp:lastPrinted>2024-09-20T03:44:14Z</cp:lastPrinted>
  <dcterms:created xsi:type="dcterms:W3CDTF">2015-11-03T11:38:16Z</dcterms:created>
  <dcterms:modified xsi:type="dcterms:W3CDTF">2024-09-20T19:04:08Z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{5BF1F4AA-7111-4323-BEF4-94616B122666}</vt:lpwstr>
  </property>
  <property fmtid="{D5CDD505-2E9C-101B-9397-08002B2CF9AE}" pid="5" name="MSIP_Label_d89617e7-b849-4eba-a1df-1e3b2681bf23_Enabled">
    <vt:lpwstr>true</vt:lpwstr>
  </property>
  <property fmtid="{D5CDD505-2E9C-101B-9397-08002B2CF9AE}" pid="6" name="MSIP_Label_d89617e7-b849-4eba-a1df-1e3b2681bf23_SetDate">
    <vt:lpwstr>2024-09-18T19:47:44Z</vt:lpwstr>
  </property>
  <property fmtid="{D5CDD505-2E9C-101B-9397-08002B2CF9AE}" pid="7" name="MSIP_Label_d89617e7-b849-4eba-a1df-1e3b2681bf23_Method">
    <vt:lpwstr>Privileged</vt:lpwstr>
  </property>
  <property fmtid="{D5CDD505-2E9C-101B-9397-08002B2CF9AE}" pid="8" name="MSIP_Label_d89617e7-b849-4eba-a1df-1e3b2681bf23_Name">
    <vt:lpwstr>NONCONFIDENTIAL-EXTERNAL NO LABEL</vt:lpwstr>
  </property>
  <property fmtid="{D5CDD505-2E9C-101B-9397-08002B2CF9AE}" pid="9" name="MSIP_Label_d89617e7-b849-4eba-a1df-1e3b2681bf23_SiteId">
    <vt:lpwstr>87bb2570-5c1e-4973-9c37-09257a95aeb1</vt:lpwstr>
  </property>
  <property fmtid="{D5CDD505-2E9C-101B-9397-08002B2CF9AE}" pid="10" name="MSIP_Label_d89617e7-b849-4eba-a1df-1e3b2681bf23_ActionId">
    <vt:lpwstr>383fe3c8-9f58-49e4-ad9c-fd5149a46991</vt:lpwstr>
  </property>
  <property fmtid="{D5CDD505-2E9C-101B-9397-08002B2CF9AE}" pid="11" name="MSIP_Label_d89617e7-b849-4eba-a1df-1e3b2681bf23_ContentBits">
    <vt:lpwstr>0</vt:lpwstr>
  </property>
</Properties>
</file>